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28560" windowHeight="1234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Лист1!$A$1:$K$148</definedName>
  </definedNames>
  <calcPr calcId="125725" fullPrecision="0"/>
</workbook>
</file>

<file path=xl/calcChain.xml><?xml version="1.0" encoding="utf-8"?>
<calcChain xmlns="http://schemas.openxmlformats.org/spreadsheetml/2006/main">
  <c r="K68" i="1"/>
  <c r="K67"/>
  <c r="K66"/>
  <c r="K65"/>
  <c r="J68"/>
  <c r="I68"/>
  <c r="H68"/>
  <c r="G68"/>
  <c r="G67"/>
  <c r="G66"/>
  <c r="K12"/>
  <c r="J27"/>
  <c r="I27"/>
  <c r="H27"/>
  <c r="H46"/>
  <c r="H45"/>
  <c r="H44"/>
  <c r="H43"/>
  <c r="H42"/>
  <c r="H41"/>
  <c r="H40"/>
  <c r="H39"/>
  <c r="H38"/>
  <c r="H36"/>
  <c r="K35"/>
  <c r="K33"/>
  <c r="K32"/>
  <c r="K31"/>
  <c r="K30"/>
  <c r="H33"/>
  <c r="H31"/>
  <c r="H29"/>
  <c r="J30"/>
  <c r="K29"/>
  <c r="K2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12" l="1"/>
  <c r="K107"/>
  <c r="G107"/>
  <c r="J106"/>
  <c r="I106"/>
  <c r="H116"/>
  <c r="I127"/>
  <c r="I145"/>
  <c r="I144" s="1"/>
  <c r="G147"/>
  <c r="G146"/>
  <c r="G145"/>
  <c r="G143"/>
  <c r="G142"/>
  <c r="G141"/>
  <c r="G140"/>
  <c r="G139"/>
  <c r="G138"/>
  <c r="G137"/>
  <c r="G136"/>
  <c r="G135"/>
  <c r="G134"/>
  <c r="G133"/>
  <c r="G132"/>
  <c r="G131"/>
  <c r="G125"/>
  <c r="G124"/>
  <c r="G123"/>
  <c r="G122"/>
  <c r="G121"/>
  <c r="G120"/>
  <c r="G119"/>
  <c r="G118"/>
  <c r="G117"/>
  <c r="G112"/>
  <c r="G110"/>
  <c r="G109"/>
  <c r="G108"/>
  <c r="G106"/>
  <c r="G105"/>
  <c r="G104"/>
  <c r="G103"/>
  <c r="G102"/>
  <c r="G99"/>
  <c r="G98"/>
  <c r="G97"/>
  <c r="G94"/>
  <c r="G93"/>
  <c r="G92"/>
  <c r="G91"/>
  <c r="G89"/>
  <c r="G88"/>
  <c r="G87"/>
  <c r="G86"/>
  <c r="G84"/>
  <c r="G83"/>
  <c r="G82"/>
  <c r="G81"/>
  <c r="G79"/>
  <c r="G78"/>
  <c r="G77"/>
  <c r="G76"/>
  <c r="G75"/>
  <c r="G73"/>
  <c r="G72"/>
  <c r="G65"/>
  <c r="G64"/>
  <c r="G53"/>
  <c r="G52"/>
  <c r="G51"/>
  <c r="G50"/>
  <c r="G49"/>
  <c r="G26"/>
  <c r="G25"/>
  <c r="G24"/>
  <c r="G23"/>
  <c r="G22"/>
  <c r="G21"/>
  <c r="G20"/>
  <c r="G19"/>
  <c r="G18"/>
  <c r="G17"/>
  <c r="G16"/>
  <c r="G15"/>
  <c r="G14"/>
  <c r="G13"/>
  <c r="G11"/>
  <c r="G10"/>
  <c r="G9"/>
  <c r="G8"/>
  <c r="J7"/>
  <c r="I7"/>
  <c r="K27"/>
  <c r="J48"/>
  <c r="I48"/>
  <c r="H48"/>
  <c r="J54"/>
  <c r="I54"/>
  <c r="H54"/>
  <c r="K99"/>
  <c r="K94"/>
  <c r="K93"/>
  <c r="K92"/>
  <c r="K89"/>
  <c r="K88"/>
  <c r="K87"/>
  <c r="K86"/>
  <c r="K84"/>
  <c r="K83"/>
  <c r="K82"/>
  <c r="K81"/>
  <c r="K79"/>
  <c r="K78"/>
  <c r="K77"/>
  <c r="K76"/>
  <c r="K75"/>
  <c r="J144"/>
  <c r="H144"/>
  <c r="K54" l="1"/>
  <c r="K7"/>
  <c r="K48"/>
  <c r="K144"/>
  <c r="J105"/>
  <c r="J101"/>
  <c r="I101"/>
  <c r="I100" s="1"/>
  <c r="H101"/>
  <c r="H100" s="1"/>
  <c r="F101"/>
  <c r="G101" s="1"/>
  <c r="D101"/>
  <c r="E101" s="1"/>
  <c r="J100" l="1"/>
  <c r="K100" s="1"/>
  <c r="F96" l="1"/>
  <c r="G96" s="1"/>
  <c r="E96"/>
  <c r="D96"/>
  <c r="F95"/>
  <c r="D95"/>
  <c r="AH96"/>
  <c r="AG96"/>
  <c r="AH95"/>
  <c r="AG95"/>
  <c r="AF94"/>
  <c r="AF95" s="1"/>
  <c r="H95" s="1"/>
  <c r="AD95"/>
  <c r="AC95"/>
  <c r="E95" s="1"/>
  <c r="AB95"/>
  <c r="K26"/>
  <c r="K25"/>
  <c r="H25"/>
  <c r="K24"/>
  <c r="K23"/>
  <c r="H23"/>
  <c r="K22"/>
  <c r="H22"/>
  <c r="K21"/>
  <c r="K20"/>
  <c r="K19"/>
  <c r="K18"/>
  <c r="H18"/>
  <c r="K17"/>
  <c r="K16"/>
  <c r="K15"/>
  <c r="K14"/>
  <c r="K13"/>
  <c r="H13"/>
  <c r="G95" l="1"/>
  <c r="AF96"/>
  <c r="H96" s="1"/>
  <c r="H7"/>
  <c r="J115" l="1"/>
  <c r="I115"/>
  <c r="H115"/>
  <c r="F115"/>
  <c r="E115"/>
  <c r="D115"/>
  <c r="K125"/>
  <c r="K124"/>
  <c r="K123"/>
  <c r="K122"/>
  <c r="K121"/>
  <c r="K118"/>
  <c r="K117"/>
  <c r="J114"/>
  <c r="J113"/>
  <c r="I114"/>
  <c r="I113"/>
  <c r="H114"/>
  <c r="H113"/>
  <c r="F114"/>
  <c r="G114" s="1"/>
  <c r="E114"/>
  <c r="F113"/>
  <c r="E113"/>
  <c r="D114"/>
  <c r="D113"/>
  <c r="K112"/>
  <c r="Z90"/>
  <c r="AA90" s="1"/>
  <c r="Y90"/>
  <c r="W90"/>
  <c r="Q90"/>
  <c r="S90" s="1"/>
  <c r="P90"/>
  <c r="H90" s="1"/>
  <c r="N90"/>
  <c r="F90" s="1"/>
  <c r="G90" s="1"/>
  <c r="M90"/>
  <c r="E90" s="1"/>
  <c r="L90"/>
  <c r="D90" s="1"/>
  <c r="H94"/>
  <c r="H92"/>
  <c r="I91"/>
  <c r="K91" s="1"/>
  <c r="H91"/>
  <c r="H87"/>
  <c r="H86"/>
  <c r="J85"/>
  <c r="I85"/>
  <c r="H85"/>
  <c r="F85"/>
  <c r="G85" s="1"/>
  <c r="E85"/>
  <c r="I80"/>
  <c r="H80"/>
  <c r="F80"/>
  <c r="G80" s="1"/>
  <c r="E80"/>
  <c r="D80"/>
  <c r="J90" l="1"/>
  <c r="G113"/>
  <c r="G115"/>
  <c r="I90"/>
  <c r="K85"/>
  <c r="K80"/>
  <c r="K115"/>
  <c r="K90" l="1"/>
  <c r="O95"/>
  <c r="Q95"/>
  <c r="I95" s="1"/>
  <c r="W95"/>
  <c r="O96"/>
  <c r="Q96"/>
  <c r="O97"/>
  <c r="Q97"/>
  <c r="R97" s="1"/>
  <c r="S97" s="1"/>
  <c r="R96" l="1"/>
  <c r="I96"/>
  <c r="R95"/>
  <c r="S96" l="1"/>
  <c r="J96"/>
  <c r="K96" s="1"/>
  <c r="S95"/>
  <c r="J95"/>
  <c r="K143"/>
  <c r="K142"/>
  <c r="K141"/>
  <c r="K140"/>
  <c r="K139"/>
  <c r="K138"/>
  <c r="K137"/>
  <c r="K136"/>
  <c r="K135"/>
  <c r="K134"/>
  <c r="K133"/>
  <c r="J132"/>
  <c r="K132" s="1"/>
  <c r="K131"/>
  <c r="K130"/>
  <c r="F130"/>
  <c r="G130" s="1"/>
  <c r="D130"/>
  <c r="J129"/>
  <c r="K129" s="1"/>
  <c r="F129"/>
  <c r="E129"/>
  <c r="D129"/>
  <c r="I128"/>
  <c r="J128" s="1"/>
  <c r="K128" s="1"/>
  <c r="H128"/>
  <c r="F128"/>
  <c r="G128" s="1"/>
  <c r="D128"/>
  <c r="H127"/>
  <c r="F127"/>
  <c r="D127"/>
  <c r="E127" s="1"/>
  <c r="G127" l="1"/>
  <c r="G129"/>
  <c r="J127"/>
  <c r="I126"/>
  <c r="K95"/>
  <c r="H126"/>
  <c r="AA95"/>
  <c r="K127" l="1"/>
  <c r="J126"/>
  <c r="J98"/>
  <c r="I98"/>
  <c r="H98"/>
  <c r="H74" s="1"/>
  <c r="I97"/>
  <c r="J111"/>
  <c r="I111"/>
  <c r="H111"/>
  <c r="F116"/>
  <c r="E116"/>
  <c r="D116"/>
  <c r="K98" l="1"/>
  <c r="H148"/>
  <c r="G116"/>
  <c r="K111"/>
  <c r="K126"/>
  <c r="J97"/>
  <c r="I74"/>
  <c r="I148" s="1"/>
  <c r="K116"/>
  <c r="K97" l="1"/>
  <c r="J74"/>
  <c r="K147"/>
  <c r="K146"/>
  <c r="K145"/>
  <c r="K120"/>
  <c r="K119"/>
  <c r="K114"/>
  <c r="K113"/>
  <c r="K110"/>
  <c r="K108"/>
  <c r="K106"/>
  <c r="K105"/>
  <c r="K104"/>
  <c r="K103"/>
  <c r="K102"/>
  <c r="K101"/>
  <c r="K73"/>
  <c r="K72"/>
  <c r="K64"/>
  <c r="K11"/>
  <c r="K10"/>
  <c r="K9"/>
  <c r="K8"/>
  <c r="K74" l="1"/>
  <c r="J148"/>
  <c r="K148" s="1"/>
</calcChain>
</file>

<file path=xl/sharedStrings.xml><?xml version="1.0" encoding="utf-8"?>
<sst xmlns="http://schemas.openxmlformats.org/spreadsheetml/2006/main" count="411" uniqueCount="254">
  <si>
    <t>чел.</t>
  </si>
  <si>
    <t>ед.</t>
  </si>
  <si>
    <t>Библиотечное, библиографическое и информационное обслуживание пользователей библиотеки</t>
  </si>
  <si>
    <t>Организация показа концертов и концертных программ</t>
  </si>
  <si>
    <t>число зрителей</t>
  </si>
  <si>
    <t>Публичный показ музейных предметов, музейных коллекций</t>
  </si>
  <si>
    <t>Число посетителей</t>
  </si>
  <si>
    <t>Предоставление социального обслуживания в стационарной форме, включая оказание социально-бытовых услуг, социально-медицинских услуг, социально-психологических услуг, социально-педагогических услуг, социально-трудовых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 в том числе детей-инвалидов, срочных социальных услуг</t>
  </si>
  <si>
    <t>Численность граждан, получивших социальные услуги</t>
  </si>
  <si>
    <t>Предоставление социального обслуживания в полустационарной форме, включая оказание социально-бытовых услуг, социально-медицинских услуг, социально-психологических услуг, социально-педагогических услуг, социально-трудовых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 в том числе детей-инвалидов, срочных социальных услуг</t>
  </si>
  <si>
    <t>Судебно-медицинская экспертиза</t>
  </si>
  <si>
    <t>количество экспертиз</t>
  </si>
  <si>
    <t>Заготовка, хранение, транспортировка и обеспечение безопасности донорской крови и ее компонентов</t>
  </si>
  <si>
    <t>Паллиативная медицинская помощь</t>
  </si>
  <si>
    <t>Медицинское освидетельствование на состояние опьянения (алкогольного, наркотического или иного токсического)</t>
  </si>
  <si>
    <t>Судебно-психиатрическая экспертиза</t>
  </si>
  <si>
    <t>Скорая, в том числе скорая специализированная, медицинская помощь (включая медицинскую эвакуацию), не включенная в базовую программу обязательного медицинского страхования, а также оказание медицинской помощи при чрезвычайных ситуациях</t>
  </si>
  <si>
    <t>Ед. изм.</t>
  </si>
  <si>
    <t>штук</t>
  </si>
  <si>
    <t xml:space="preserve">количество экземпляров изданий </t>
  </si>
  <si>
    <t>Наименование государственной услуги (работы)</t>
  </si>
  <si>
    <t xml:space="preserve">Наименования показателя объема государственной услуги (работы) </t>
  </si>
  <si>
    <t>Показ (организация показа) спектаклей</t>
  </si>
  <si>
    <t>Показ (организация показа) концертов и концертных программ</t>
  </si>
  <si>
    <t>количество мероприятий, работ</t>
  </si>
  <si>
    <t>количество посещений</t>
  </si>
  <si>
    <t xml:space="preserve">Число лиц, прошедших спортивную подготовку на этапах спортивной подготовки </t>
  </si>
  <si>
    <t>Спортивная подготовка по олимпийским видам спорта</t>
  </si>
  <si>
    <t>Формирование бюджетной отчетности для главного распорядителя, распорядителя, получателя бюджетных средств, главного администратора, администратора источников финансирования дефицита бюджета, главного администратора, администратора доходов бюджета</t>
  </si>
  <si>
    <t>шт.</t>
  </si>
  <si>
    <t xml:space="preserve">Разведение племенных лошадей  </t>
  </si>
  <si>
    <t xml:space="preserve">
поголовье племенных лошадей </t>
  </si>
  <si>
    <t>ед</t>
  </si>
  <si>
    <t xml:space="preserve">
поголовье крупного рогатого скота</t>
  </si>
  <si>
    <t>Организация и осуществление транспортного обслуживания должностных лиц, государственных органов и государственных учреждений</t>
  </si>
  <si>
    <t xml:space="preserve">Машино-часы работы автомобилей </t>
  </si>
  <si>
    <t>Машино-часы</t>
  </si>
  <si>
    <t xml:space="preserve">Эксплуатируемая площадь административных зданий (Тысяча квадратных метров) </t>
  </si>
  <si>
    <t>тыс. м2</t>
  </si>
  <si>
    <t xml:space="preserve">ед. </t>
  </si>
  <si>
    <t>Техническое сопровождение и эксплуатация, вывод из эксплуатации информационных систем и компонентов информационно-телекоммуникационной инфраструктуры</t>
  </si>
  <si>
    <t xml:space="preserve">количество пользователей </t>
  </si>
  <si>
    <t xml:space="preserve">Спортивная подготовка по спорту глухих  </t>
  </si>
  <si>
    <t xml:space="preserve">Спортивная подготовка по спорту лиц с поражением ОДА  </t>
  </si>
  <si>
    <t>Сохранение природных комплексов, уникальных и эталонных природных участков и объектов</t>
  </si>
  <si>
    <t>Деятельность в области гидрометеорологии и смежных с ней областях, мониторинга состояния окружающей среды, ее загрязнения</t>
  </si>
  <si>
    <t xml:space="preserve">Количество проведенных мероприятий, </t>
  </si>
  <si>
    <t>Реализация образовательных программ среднего профессионального образования - программ подготовки квалифицированных рабочих, служащих</t>
  </si>
  <si>
    <t xml:space="preserve">Содержание (эксплуатация) имущества, находящегося в государственной (муниципальной) собственности  </t>
  </si>
  <si>
    <t xml:space="preserve">Организация и проведение культурно-массовых мероприятий  </t>
  </si>
  <si>
    <t>Спортивная подготовка по неолимпийским видам спорта</t>
  </si>
  <si>
    <t xml:space="preserve">Предупреждение возникновения и распространения лесных пожаров, включая территорию ООПТ  </t>
  </si>
  <si>
    <t>км</t>
  </si>
  <si>
    <t>Тушение лесных пожаров</t>
  </si>
  <si>
    <t xml:space="preserve">Осуществление лесовосстановления и лесоразведения  </t>
  </si>
  <si>
    <t xml:space="preserve">Выполнение работ по лесному семеноводству  </t>
  </si>
  <si>
    <t xml:space="preserve">Локализация и ликвидация очагов вредных организмов  
</t>
  </si>
  <si>
    <t>факт</t>
  </si>
  <si>
    <t>% исп.</t>
  </si>
  <si>
    <t>Объем субсидий автономным и бюджетным учреждениям на финансовое обеспечение  выполнения  государственного задания, тыс.руб.</t>
  </si>
  <si>
    <t xml:space="preserve">Факт </t>
  </si>
  <si>
    <t>Предоставление социального обслуживания в  форме на дому, включая оказание социально-бытовых услуг, социально-медицинских услуг, социально-психологических услуг, социально-педагогических услуг, социально-трудовых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 в том числе детей-инвалидов, срочных социальных услуг</t>
  </si>
  <si>
    <t xml:space="preserve">          Сведения о выполнении государственными учреждениями Республики Алтай государственных заданий на оказание государственных услуг</t>
  </si>
  <si>
    <t>Объем оказываемых государственных  услуг (выполняемых работ)</t>
  </si>
  <si>
    <t xml:space="preserve">Количество отчетов, подлежащих консолидации; Количество отчетов, подлежащих своду ; Количество пользователей отчетов ;Количество согласований ;Количество объектов учета (регистров) </t>
  </si>
  <si>
    <t xml:space="preserve"> Государственная  программа Республики Алтай «Развитие образования»</t>
  </si>
  <si>
    <t>Государственная программа Республики Алтай  «Развитие культуры»</t>
  </si>
  <si>
    <t>Государственная программа Республики Алтай «Развитие здравоохранения»</t>
  </si>
  <si>
    <t>Государственная программа Республики Алтай «Обеспечение социальной защищенности и занятости населения»</t>
  </si>
  <si>
    <t xml:space="preserve">Государственная  программа Республики Алтай «Развитие  физической культуры и спорта»  </t>
  </si>
  <si>
    <t>Государственная программа  Республики Алтай  «Развитие сельского хозяйства и регулирование рынков    сельскохозяйственной продукции, сырья и продовольствия»</t>
  </si>
  <si>
    <t>Государственная  программа Республики Алтай «Обеспечение экологической безопасности и улучшение состояния окружающей среды»</t>
  </si>
  <si>
    <t>Государственная программа Республики Алтай «Развитие экономического потенциала и предпринимательства»</t>
  </si>
  <si>
    <t>Осуществление издательской деятельности</t>
  </si>
  <si>
    <t>Государственная  программа Республики Алтай «Управление государственными финансами»</t>
  </si>
  <si>
    <t>Осуществление работ по обеспечению требований информационной безопасности</t>
  </si>
  <si>
    <t>количество объектов</t>
  </si>
  <si>
    <t>количество месяцев</t>
  </si>
  <si>
    <t>мес.</t>
  </si>
  <si>
    <t>чел</t>
  </si>
  <si>
    <t xml:space="preserve">количество посещений </t>
  </si>
  <si>
    <t>Техническое сопровождение и эксплуатация, ввод из эксплуатации информационных систем и компонентов информационно-телекоммуникационной инфраструктуры</t>
  </si>
  <si>
    <t>первоначальный план</t>
  </si>
  <si>
    <t>уточненный план</t>
  </si>
  <si>
    <t xml:space="preserve">Реализация основных общеобразовательных программ среднего общего образования </t>
  </si>
  <si>
    <t>Число обучающихся</t>
  </si>
  <si>
    <t>Реализация основных общеобразовательных программ основного общего образования</t>
  </si>
  <si>
    <t>Реализация дополнительных общеразвивающих программ</t>
  </si>
  <si>
    <t>Число человеко-часов пребывания</t>
  </si>
  <si>
    <t>чел/час</t>
  </si>
  <si>
    <t>Содержание детей</t>
  </si>
  <si>
    <t>Реализация дополнительных  общеразвивающих программ</t>
  </si>
  <si>
    <t>Предоставление методических услуг</t>
  </si>
  <si>
    <t>количество методических мероприятий регионального уровня(семинар,мастер-класс и пр.)</t>
  </si>
  <si>
    <t>шт</t>
  </si>
  <si>
    <t>Обеспечение доступности дополнительного образования детей</t>
  </si>
  <si>
    <t>количество заочных школ и ежегодных сезонных школ для мотивированных школьников</t>
  </si>
  <si>
    <t>Организация мероприятий</t>
  </si>
  <si>
    <t>количество  мероприятий</t>
  </si>
  <si>
    <t>Организация летнего отдыха и оздоровления детей</t>
  </si>
  <si>
    <t>численность детей учавствующих в программах отдыха и оздоровления</t>
  </si>
  <si>
    <t>Количество человеко часов</t>
  </si>
  <si>
    <t>человеко час</t>
  </si>
  <si>
    <t>Оказание психолого-педагогической и медико социальной помощи</t>
  </si>
  <si>
    <t>Число обучающихся, их родителей(законных представителей) и педагогических работников которым оказана психолого-педагогическая и медико-социальная помощь</t>
  </si>
  <si>
    <t>Организация работы и осуществление полномочий психолого-медико-педагогической комиссии</t>
  </si>
  <si>
    <t>Число детей, прошедших психолого-медико-педагогическую комиссию</t>
  </si>
  <si>
    <t>Организация работы и контроля за исполнением мероприятий по реализации ИПРА ребенка инвалида</t>
  </si>
  <si>
    <t>Количество отчетов в Федеральное бюро медико-социальной экспертизы по количеству ИПРА, поступивших на детей-инвалидов</t>
  </si>
  <si>
    <t>Организационно-технологическое сопровождение государственной итоговой аттестации обучающихся по образовательным программам основного общего и среднего образования</t>
  </si>
  <si>
    <t xml:space="preserve">количество записей </t>
  </si>
  <si>
    <t>Реализация дополнительных профессиональных программ повышения квалификации</t>
  </si>
  <si>
    <t>человеко-час</t>
  </si>
  <si>
    <t>Организационно-методическое и информационное сопровождение образовательных организаций</t>
  </si>
  <si>
    <t>Количество отчетов составленных по результатам работы</t>
  </si>
  <si>
    <t xml:space="preserve">Оценка качества образования </t>
  </si>
  <si>
    <t xml:space="preserve">Количество проведенных мероприятий по оценке учебных достижений обучающихся общеобразовательных организаций </t>
  </si>
  <si>
    <t>Проведение фундаментальных научных исследований</t>
  </si>
  <si>
    <t>Количество научно-исследовательских работ</t>
  </si>
  <si>
    <t>единица</t>
  </si>
  <si>
    <t>Научно методическое обеспечение аттестации педагогических работников</t>
  </si>
  <si>
    <t>Количество мероприятий</t>
  </si>
  <si>
    <t>штука</t>
  </si>
  <si>
    <t xml:space="preserve">Реализация дополнительных предпрофессиональных программ в области физической культуры и спорта </t>
  </si>
  <si>
    <t xml:space="preserve">человеко час </t>
  </si>
  <si>
    <t>Реализация образовательных программ среднего профессионального образования - программ подготовки специалистов среднего звена</t>
  </si>
  <si>
    <t>численность обучающихся</t>
  </si>
  <si>
    <t>человек</t>
  </si>
  <si>
    <t>Реализация основных профессиональных образовательных программ профессионального обучения - программ профессиональной подготовки по профессиям рабочих, должностям служащих</t>
  </si>
  <si>
    <t>Организация отдыха детей и молодежи</t>
  </si>
  <si>
    <t>количество человек</t>
  </si>
  <si>
    <t>Организация мероприятий в сфере молодежной политики, направленных на формирование системы развития талантливой и инициативной молодежи, создание условий для самореализации подростков и молодежи, развитие творческого, профессионального, интеллектуального п</t>
  </si>
  <si>
    <t>количество проведенных мероприятий</t>
  </si>
  <si>
    <t>условная единица</t>
  </si>
  <si>
    <t>количество обращений</t>
  </si>
  <si>
    <t>случаи госпитализации</t>
  </si>
  <si>
    <t>случаи лечения</t>
  </si>
  <si>
    <t>Автотранспортное обслуживание должностных лиц, государственных органов и государственных учреждений в случаях, установленных нормативными правовыми актами субъектов Российской Федерации, органов местного самоуправления</t>
  </si>
  <si>
    <t>машино-часы/работы автомобилей</t>
  </si>
  <si>
    <t>количество экспертиз/количество исследований</t>
  </si>
  <si>
    <t>Диспансерное наблюдение</t>
  </si>
  <si>
    <t xml:space="preserve">количество койко-дней </t>
  </si>
  <si>
    <t>койко день</t>
  </si>
  <si>
    <t xml:space="preserve"> количество записей ;количество информационных ресурсов и баз данных; количество отчетов </t>
  </si>
  <si>
    <t>количество пациентов</t>
  </si>
  <si>
    <t>условная единица продукта, переработки (в перерасчете на 1 литр цельной крови)</t>
  </si>
  <si>
    <t xml:space="preserve">обеспечение лечебным и профилактическим питанием </t>
  </si>
  <si>
    <t xml:space="preserve">количество обслуживаемых лиц </t>
  </si>
  <si>
    <t>число пациентов-человек/количество вызовов</t>
  </si>
  <si>
    <t>человек/единица</t>
  </si>
  <si>
    <t xml:space="preserve">количество освидетельствований </t>
  </si>
  <si>
    <t xml:space="preserve"> образование</t>
  </si>
  <si>
    <t>здрав</t>
  </si>
  <si>
    <t>Количество объектов учета (регистров) Количество отчетов, подлежащих своду</t>
  </si>
  <si>
    <t>Еденица</t>
  </si>
  <si>
    <t>Формирование финансовой (бухгалтерской) отчетности бюджетных и автономных учреждений</t>
  </si>
  <si>
    <t>минздрав</t>
  </si>
  <si>
    <t>Предоставление питания</t>
  </si>
  <si>
    <t>минобр</t>
  </si>
  <si>
    <t xml:space="preserve">Осуществление издательской деятельности </t>
  </si>
  <si>
    <t>Количество  полос формата А3</t>
  </si>
  <si>
    <t>объем тиража</t>
  </si>
  <si>
    <t>Организация и проведение спортивно-оздоровительной работы по развитию физической культуры и спорта среди  различных групп населения</t>
  </si>
  <si>
    <t>Количество посещений</t>
  </si>
  <si>
    <t>Осуществление спортивной подготовки в соответствии с федеральными стандартами спортивной подгтовки</t>
  </si>
  <si>
    <t xml:space="preserve">организация и проведение физкультурных и спортивных мероприятий в рамках  Всероссийского физкультурно-спортивного комплекса "Готов к труду и обороне" (ГТО) (за исключением  тестирования выполнения нормативов испытаний комплекса ГТО) </t>
  </si>
  <si>
    <t xml:space="preserve">Проведение тестирования выполнения нормативов испытаний (тестов)  комплекса ГТО </t>
  </si>
  <si>
    <t>Обеспечение участия в официаольных физкультурных (физкультурно-оздоровительных) мероприятиях</t>
  </si>
  <si>
    <t>Организация и проведение  официаольных физкультурных (физкультурно-оздоровительных) мероприятий</t>
  </si>
  <si>
    <t>Организация и проведение спортивных  мероприятий</t>
  </si>
  <si>
    <t>Обеспечение участия спортивных сборных команд  в официаольных спортивных мероприятиях</t>
  </si>
  <si>
    <t>Обеспечение участия лиц, проходящих спортивную подготовку в спортивных  мероприятиях</t>
  </si>
  <si>
    <t>Проведение  плановых диагностических мероприятий на особо  опасные болезни животных (птиц) и болезни общие для человека и животных (птиц)</t>
  </si>
  <si>
    <t>диагностические мероприятия</t>
  </si>
  <si>
    <t>отбор проб</t>
  </si>
  <si>
    <t>оформление документации</t>
  </si>
  <si>
    <t>Проведение  плановых профилактических  вакцинаций животных (птиц) против особо опасных болезней  животных и болезней общих для человека и животных (птиц)</t>
  </si>
  <si>
    <t>вакцинация</t>
  </si>
  <si>
    <t>гол.</t>
  </si>
  <si>
    <t>Проведение вынужденных профилактических вакцинаций животных (птиц) в случаях возникновения или угрозы возникновения особо опасных болезней животных и болезней общих для человека и животных</t>
  </si>
  <si>
    <t>Проведены ветеринарные организационные работы, включая учет и ответственное хранение лекарственных средств и препаратов для ветеринарного применения</t>
  </si>
  <si>
    <t>Учет, хранение ветеринарных сопроводительных документов</t>
  </si>
  <si>
    <t>проведение мероприятий</t>
  </si>
  <si>
    <t>Проведение ветеринарно-санитарной экспертизы сырья и продукции животного происхождения на трихинеллез</t>
  </si>
  <si>
    <t>лабораторные исследования</t>
  </si>
  <si>
    <t>Проведение  плановых  лабораторных исследований на особо  опасные болезни животных (птиц) и болезни общие для человека и животных (птиц), включая отбор проб и их транспортировку</t>
  </si>
  <si>
    <t>Оформление и выдача ветеринарных сопроводительных документов</t>
  </si>
  <si>
    <t>Итого по государственным программам</t>
  </si>
  <si>
    <t xml:space="preserve">                                (выполнение работ) в 2018 году, а также об объемах субсидий на финансовое обеспечение выполнения  государственных заданий</t>
  </si>
  <si>
    <t xml:space="preserve">Медицинская помощь в рамках клинической апробации методов профилактики, диагностики, лечения и реабилитации </t>
  </si>
  <si>
    <t>Специализированная медицинская помощь (за исключением высокотехнологической медицинской помощи), не включенная в базовую программу обязательного медицинского страхования (дневной стационар)</t>
  </si>
  <si>
    <t>Специализированная медицинская помощь (за исключением высокотехнологической медицинской помощи), не включенная в базовую программу обязательного медицинского страхования (круглосуточный стационар)</t>
  </si>
  <si>
    <t>Первичная медико-санитарная помощь, не включенная в базовую программу обязательного медицинского страхования</t>
  </si>
  <si>
    <t>Организация круглосуточного приема, содержания, выхаживания и воспитания детей</t>
  </si>
  <si>
    <t>Ведение информационных ресурсов и баз данных</t>
  </si>
  <si>
    <t>Разведение овец и коз</t>
  </si>
  <si>
    <t>Предоставление услуг в области животноводства</t>
  </si>
  <si>
    <t>Организация предоставления государственных и муниципальных услуг в многофункциональных центрах предоставления государственных и муниципальных услуг</t>
  </si>
  <si>
    <t>Количество услуг</t>
  </si>
  <si>
    <t>Единица</t>
  </si>
  <si>
    <t>Управление недвижимым имуществом за вознаграждение или на договорной основе</t>
  </si>
  <si>
    <t>Выполнение полного комплекса мероприятий по обеспечению деятельности учреждения</t>
  </si>
  <si>
    <t>Условная единица</t>
  </si>
  <si>
    <t xml:space="preserve">
 Предоставление информационной и консультационной поддержки субъектам инвестиционной деятельности  </t>
  </si>
  <si>
    <t xml:space="preserve">Количество субъектов инвестиционной деятельности, обратившихся за услугой </t>
  </si>
  <si>
    <t>Cоздание и развитие (модернизация) информационных систем и компонентов информационно-телекоммуникационной инфраструктуры</t>
  </si>
  <si>
    <t>Количество типовых компонентов ИТКИ</t>
  </si>
  <si>
    <t>Количество компонентов инфраструктуры электронного правительства</t>
  </si>
  <si>
    <t>колличество автоматизированных рабочих мест</t>
  </si>
  <si>
    <t>Предоставление консультационной и информационной поддержки субъектам инвестиционной деятельности</t>
  </si>
  <si>
    <t>Количество юридических лиц, физических лиц, обратившихся за услугой</t>
  </si>
  <si>
    <t xml:space="preserve">
 Оказание имущественной поддержки субъектам малого и среднего предпринимательства в виде передачи в пользование государственного имущества на льготных условиях </t>
  </si>
  <si>
    <t>Количество субъектов МСП получивших услугу и граждан, планирующих начать предпринимательскую деятельность</t>
  </si>
  <si>
    <t>Площадь помещений, предоставленных субъектам МСП</t>
  </si>
  <si>
    <t>Квадратный метр</t>
  </si>
  <si>
    <t>Предоставление информационной и консультационной поддержки субъектам малого и среднего предпринимательства</t>
  </si>
  <si>
    <t>Количество СМСП получивших услугу и граждан планирующих заниматься предпринимательской деятельностью</t>
  </si>
  <si>
    <t>Предоставление услуг по организации и содействию в проведении семинаров, совещания, "круглых столов", выставочных мероприятий, и иных мероприятий</t>
  </si>
  <si>
    <t>Разработка и реализация мероприятий по обучению сотрудников субъектов малого и среднего предпринимательства новым компетенциям в сфере предпринимательской деятельности</t>
  </si>
  <si>
    <t>Количество сотрудников СМСП и граждан планирующих заниматься предпринимательской деятельностью, получивших сертификаты, свидетельства, дипломы и др.</t>
  </si>
  <si>
    <t xml:space="preserve"> Развитие инфраструктуры поддержки субъектов малого и среднего предпринимательство направленной на оказание консультационной поддержки, в том числе центров поддержки предпринимательства </t>
  </si>
  <si>
    <t xml:space="preserve"> Поддержка Субъектов малого и среднего предпрнимательства, осуществляющих деятельность в области народно - художественных промыслов и ремесленной деятельности </t>
  </si>
  <si>
    <t>Объем дохода от платной деятельности</t>
  </si>
  <si>
    <t>Тыс.руб.</t>
  </si>
  <si>
    <t xml:space="preserve"> Реализация механизмов финансовой и иных видов поддержки, реализуемых АО "Федеральная корпорация по развитию малого и среднего предпринимательства" </t>
  </si>
  <si>
    <t xml:space="preserve">Осуществление комплекса мероприятий по управлению проектами </t>
  </si>
  <si>
    <t>Печатная продукция, касающаяся деятельности учреждения</t>
  </si>
  <si>
    <t>Штука</t>
  </si>
  <si>
    <t>Оказание туристско - информационных услуг</t>
  </si>
  <si>
    <t>Количество людей получивших услугу</t>
  </si>
  <si>
    <t>Поголовье племенных животных</t>
  </si>
  <si>
    <t>голов</t>
  </si>
  <si>
    <t>протяженность реконструированных лесных дорог предназначенных для охраны лесов от пожаров</t>
  </si>
  <si>
    <t>км.</t>
  </si>
  <si>
    <t>площадь обустроенных/ эксплуатируемых посадочных площадок для самолетов, вертолетов, используемых в целях проведения авиационных работ по охране и защите лесов</t>
  </si>
  <si>
    <t>м2</t>
  </si>
  <si>
    <t>протяженность устраиваемых противопожарных минерализированных полос</t>
  </si>
  <si>
    <t>протяженность прочищаемых и обновляемых противопожарных минерализированных полос</t>
  </si>
  <si>
    <t>площадь лесного фонда, на территории которого осуществляется мониторинг пожарной опасности в лесах</t>
  </si>
  <si>
    <t>га.</t>
  </si>
  <si>
    <t>площадь пройденная лесными пожарами</t>
  </si>
  <si>
    <t>содействие естественному лесовостановлению</t>
  </si>
  <si>
    <t>проведение искусственного лесовостановления</t>
  </si>
  <si>
    <t>ручное рыхление почвы и окучивание растений, рыхление около лунок тяпкой или окашивание в междурядьях косой или секором</t>
  </si>
  <si>
    <t>посадка сеянцев и саженцев вручную под меч(лопату) Колесова на месте погибших растений</t>
  </si>
  <si>
    <t>сбор и уничтожение яйцекладок непарного шелкопряда</t>
  </si>
  <si>
    <t>кг.</t>
  </si>
  <si>
    <t>проведение истребительных мероприятий против вредителей леса (распыление препарата "Лепидоцид СК-М"</t>
  </si>
  <si>
    <t>количество закупленных семян</t>
  </si>
  <si>
    <t>уход за архивами клонов</t>
  </si>
  <si>
    <t>уход за лесосеменными плантациями</t>
  </si>
  <si>
    <t>уход за постоянными лесосеменными участками</t>
  </si>
  <si>
    <t>Количество представленной информации, количество  информационных материалов, докладов, картографического материала, заключений и консультаций</t>
  </si>
  <si>
    <t>минерализация почвы</t>
  </si>
</sst>
</file>

<file path=xl/styles.xml><?xml version="1.0" encoding="utf-8"?>
<styleSheet xmlns="http://schemas.openxmlformats.org/spreadsheetml/2006/main">
  <numFmts count="6">
    <numFmt numFmtId="43" formatCode="_-* #,##0.00\ _₽_-;\-* #,##0.00\ _₽_-;_-* &quot;-&quot;??\ _₽_-;_-@_-"/>
    <numFmt numFmtId="164" formatCode="0.0"/>
    <numFmt numFmtId="165" formatCode="###\ ###\ ###\ ###\ ##0.00"/>
    <numFmt numFmtId="166" formatCode="#,##0.0"/>
    <numFmt numFmtId="167" formatCode="#,##0.0;[Red]\-#,##0.0;0.0"/>
    <numFmt numFmtId="168" formatCode="#,##0.0\ _₽"/>
  </numFmts>
  <fonts count="20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color theme="1"/>
      <name val="Lao UI"/>
      <family val="2"/>
    </font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theme="1"/>
      <name val="Calibri"/>
      <family val="2"/>
      <scheme val="minor"/>
    </font>
    <font>
      <sz val="11"/>
      <color rgb="FF9C0006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Arial Cyr"/>
      <charset val="204"/>
    </font>
    <font>
      <sz val="10"/>
      <color rgb="FF000000"/>
      <name val="Segoe U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7CE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rgb="FFBFC5D2"/>
      </right>
      <top style="thin">
        <color rgb="FFBFC5D2"/>
      </top>
      <bottom style="thin">
        <color rgb="FFBFC5D2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BFC5D2"/>
      </right>
      <top style="thin">
        <color rgb="FFBFC5D2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BFC5D2"/>
      </left>
      <right style="thin">
        <color rgb="FFBFC5D2"/>
      </right>
      <top style="thin">
        <color rgb="FFBFC5D2"/>
      </top>
      <bottom style="thin">
        <color rgb="FFBFC5D2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rgb="FFBFC5D2"/>
      </left>
      <right style="thin">
        <color rgb="FFBFC5D2"/>
      </right>
      <top/>
      <bottom style="thin">
        <color rgb="FFBFC5D2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6">
    <xf numFmtId="0" fontId="0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1" fillId="3" borderId="0" applyNumberFormat="0" applyBorder="0" applyAlignment="0" applyProtection="0"/>
    <xf numFmtId="0" fontId="14" fillId="0" borderId="0"/>
    <xf numFmtId="0" fontId="18" fillId="0" borderId="0"/>
  </cellStyleXfs>
  <cellXfs count="226">
    <xf numFmtId="0" fontId="0" fillId="0" borderId="0" xfId="0"/>
    <xf numFmtId="0" fontId="1" fillId="0" borderId="0" xfId="0" applyFont="1"/>
    <xf numFmtId="0" fontId="0" fillId="0" borderId="0" xfId="0" applyBorder="1"/>
    <xf numFmtId="0" fontId="5" fillId="0" borderId="0" xfId="0" applyFont="1" applyBorder="1"/>
    <xf numFmtId="0" fontId="5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164" fontId="5" fillId="0" borderId="0" xfId="0" applyNumberFormat="1" applyFont="1"/>
    <xf numFmtId="43" fontId="0" fillId="0" borderId="1" xfId="0" applyNumberForma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43" fontId="0" fillId="0" borderId="1" xfId="1" applyFont="1" applyBorder="1" applyAlignment="1">
      <alignment vertical="center" wrapText="1"/>
    </xf>
    <xf numFmtId="164" fontId="0" fillId="0" borderId="1" xfId="0" applyNumberFormat="1" applyBorder="1" applyAlignment="1">
      <alignment vertical="center" wrapText="1"/>
    </xf>
    <xf numFmtId="164" fontId="8" fillId="0" borderId="1" xfId="0" applyNumberFormat="1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center" vertical="center" wrapText="1"/>
    </xf>
    <xf numFmtId="4" fontId="8" fillId="0" borderId="1" xfId="2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164" fontId="10" fillId="0" borderId="1" xfId="0" applyNumberFormat="1" applyFont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/>
    </xf>
    <xf numFmtId="0" fontId="11" fillId="2" borderId="0" xfId="3" applyFill="1" applyBorder="1" applyAlignment="1">
      <alignment wrapText="1"/>
    </xf>
    <xf numFmtId="0" fontId="11" fillId="2" borderId="0" xfId="3" applyFill="1" applyBorder="1" applyAlignment="1">
      <alignment vertical="center"/>
    </xf>
    <xf numFmtId="0" fontId="11" fillId="2" borderId="0" xfId="3" applyFill="1" applyBorder="1" applyAlignment="1">
      <alignment horizontal="center" vertical="center"/>
    </xf>
    <xf numFmtId="164" fontId="11" fillId="2" borderId="0" xfId="3" applyNumberFormat="1" applyFill="1" applyBorder="1" applyAlignment="1">
      <alignment horizontal="center" vertical="center"/>
    </xf>
    <xf numFmtId="1" fontId="11" fillId="2" borderId="0" xfId="3" applyNumberFormat="1" applyFill="1" applyBorder="1" applyAlignment="1">
      <alignment horizontal="center" vertical="center"/>
    </xf>
    <xf numFmtId="0" fontId="11" fillId="2" borderId="0" xfId="3" applyFill="1" applyBorder="1"/>
    <xf numFmtId="0" fontId="11" fillId="2" borderId="0" xfId="3" applyFill="1" applyBorder="1" applyAlignment="1">
      <alignment vertical="center" wrapText="1"/>
    </xf>
    <xf numFmtId="0" fontId="8" fillId="0" borderId="0" xfId="0" applyFont="1" applyBorder="1" applyAlignment="1">
      <alignment horizontal="center" vertical="center"/>
    </xf>
    <xf numFmtId="164" fontId="8" fillId="0" borderId="0" xfId="0" applyNumberFormat="1" applyFont="1" applyBorder="1" applyAlignment="1">
      <alignment horizontal="center" vertical="center"/>
    </xf>
    <xf numFmtId="4" fontId="8" fillId="0" borderId="0" xfId="0" applyNumberFormat="1" applyFont="1" applyBorder="1" applyAlignment="1">
      <alignment horizontal="center" vertical="center"/>
    </xf>
    <xf numFmtId="2" fontId="8" fillId="0" borderId="0" xfId="2" applyNumberFormat="1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4" fontId="9" fillId="0" borderId="0" xfId="0" applyNumberFormat="1" applyFont="1" applyFill="1" applyBorder="1" applyAlignment="1">
      <alignment horizontal="center" vertical="center" wrapText="1"/>
    </xf>
    <xf numFmtId="4" fontId="8" fillId="0" borderId="0" xfId="2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4" fontId="10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164" fontId="10" fillId="0" borderId="0" xfId="0" applyNumberFormat="1" applyFont="1" applyBorder="1" applyAlignment="1">
      <alignment horizontal="center" vertical="center" wrapText="1"/>
    </xf>
    <xf numFmtId="4" fontId="10" fillId="0" borderId="0" xfId="0" applyNumberFormat="1" applyFont="1" applyBorder="1" applyAlignment="1">
      <alignment horizontal="center" vertical="center" wrapText="1"/>
    </xf>
    <xf numFmtId="164" fontId="10" fillId="0" borderId="0" xfId="0" applyNumberFormat="1" applyFont="1" applyBorder="1" applyAlignment="1">
      <alignment horizontal="center" vertical="center"/>
    </xf>
    <xf numFmtId="0" fontId="5" fillId="2" borderId="0" xfId="0" applyFont="1" applyFill="1" applyBorder="1"/>
    <xf numFmtId="164" fontId="0" fillId="0" borderId="0" xfId="0" applyNumberFormat="1"/>
    <xf numFmtId="0" fontId="15" fillId="0" borderId="1" xfId="0" applyFont="1" applyBorder="1" applyAlignment="1">
      <alignment horizontal="center" vertical="center"/>
    </xf>
    <xf numFmtId="0" fontId="16" fillId="0" borderId="27" xfId="4" applyFont="1" applyBorder="1" applyAlignment="1">
      <alignment wrapText="1"/>
    </xf>
    <xf numFmtId="0" fontId="16" fillId="0" borderId="27" xfId="4" applyFont="1" applyBorder="1"/>
    <xf numFmtId="0" fontId="16" fillId="0" borderId="28" xfId="4" applyFont="1" applyBorder="1" applyAlignment="1">
      <alignment wrapText="1"/>
    </xf>
    <xf numFmtId="0" fontId="16" fillId="0" borderId="29" xfId="4" applyFont="1" applyBorder="1"/>
    <xf numFmtId="0" fontId="15" fillId="0" borderId="1" xfId="0" applyFont="1" applyFill="1" applyBorder="1" applyAlignment="1">
      <alignment vertical="center" wrapText="1"/>
    </xf>
    <xf numFmtId="0" fontId="15" fillId="0" borderId="1" xfId="0" applyFont="1" applyBorder="1" applyAlignment="1">
      <alignment vertical="center" wrapText="1"/>
    </xf>
    <xf numFmtId="0" fontId="15" fillId="2" borderId="1" xfId="0" applyFont="1" applyFill="1" applyBorder="1" applyAlignment="1">
      <alignment vertical="center" wrapText="1"/>
    </xf>
    <xf numFmtId="0" fontId="15" fillId="2" borderId="1" xfId="0" applyFont="1" applyFill="1" applyBorder="1"/>
    <xf numFmtId="0" fontId="13" fillId="2" borderId="1" xfId="0" applyFont="1" applyFill="1" applyBorder="1" applyAlignment="1">
      <alignment horizontal="justify"/>
    </xf>
    <xf numFmtId="0" fontId="15" fillId="0" borderId="25" xfId="0" applyFont="1" applyFill="1" applyBorder="1" applyAlignment="1">
      <alignment horizontal="justify" wrapText="1"/>
    </xf>
    <xf numFmtId="0" fontId="15" fillId="0" borderId="1" xfId="0" applyFont="1" applyFill="1" applyBorder="1"/>
    <xf numFmtId="0" fontId="15" fillId="0" borderId="1" xfId="0" applyFont="1" applyFill="1" applyBorder="1" applyAlignment="1">
      <alignment horizontal="justify"/>
    </xf>
    <xf numFmtId="0" fontId="15" fillId="0" borderId="25" xfId="0" applyFont="1" applyFill="1" applyBorder="1" applyAlignment="1">
      <alignment horizontal="justify"/>
    </xf>
    <xf numFmtId="0" fontId="13" fillId="0" borderId="1" xfId="0" applyNumberFormat="1" applyFont="1" applyFill="1" applyBorder="1" applyAlignment="1">
      <alignment horizontal="justify" wrapText="1"/>
    </xf>
    <xf numFmtId="0" fontId="7" fillId="0" borderId="21" xfId="0" applyFont="1" applyFill="1" applyBorder="1" applyAlignment="1">
      <alignment horizontal="left" vertical="top" wrapText="1"/>
    </xf>
    <xf numFmtId="0" fontId="15" fillId="2" borderId="1" xfId="0" applyFont="1" applyFill="1" applyBorder="1" applyAlignment="1"/>
    <xf numFmtId="0" fontId="13" fillId="0" borderId="1" xfId="0" applyFont="1" applyFill="1" applyBorder="1"/>
    <xf numFmtId="0" fontId="15" fillId="0" borderId="4" xfId="0" applyNumberFormat="1" applyFont="1" applyFill="1" applyBorder="1" applyAlignment="1">
      <alignment horizontal="justify"/>
    </xf>
    <xf numFmtId="0" fontId="15" fillId="0" borderId="4" xfId="0" applyFont="1" applyFill="1" applyBorder="1" applyAlignment="1">
      <alignment horizontal="justify"/>
    </xf>
    <xf numFmtId="0" fontId="15" fillId="0" borderId="4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justify"/>
    </xf>
    <xf numFmtId="0" fontId="17" fillId="0" borderId="4" xfId="0" applyFont="1" applyFill="1" applyBorder="1" applyAlignment="1">
      <alignment horizontal="justify"/>
    </xf>
    <xf numFmtId="0" fontId="17" fillId="0" borderId="8" xfId="0" applyFont="1" applyFill="1" applyBorder="1" applyAlignment="1">
      <alignment horizontal="justify"/>
    </xf>
    <xf numFmtId="0" fontId="13" fillId="0" borderId="1" xfId="0" applyFont="1" applyFill="1" applyBorder="1" applyAlignment="1">
      <alignment horizontal="center"/>
    </xf>
    <xf numFmtId="0" fontId="15" fillId="2" borderId="1" xfId="0" applyFont="1" applyFill="1" applyBorder="1" applyAlignment="1">
      <alignment wrapText="1"/>
    </xf>
    <xf numFmtId="0" fontId="15" fillId="2" borderId="1" xfId="0" applyFont="1" applyFill="1" applyBorder="1" applyAlignment="1">
      <alignment horizontal="justify"/>
    </xf>
    <xf numFmtId="0" fontId="16" fillId="2" borderId="1" xfId="0" applyFont="1" applyFill="1" applyBorder="1" applyAlignment="1">
      <alignment horizontal="left" wrapText="1"/>
    </xf>
    <xf numFmtId="0" fontId="15" fillId="2" borderId="18" xfId="0" applyFont="1" applyFill="1" applyBorder="1" applyAlignment="1">
      <alignment horizontal="justify"/>
    </xf>
    <xf numFmtId="0" fontId="15" fillId="2" borderId="19" xfId="0" applyFont="1" applyFill="1" applyBorder="1"/>
    <xf numFmtId="0" fontId="15" fillId="0" borderId="4" xfId="0" applyFont="1" applyFill="1" applyBorder="1" applyAlignment="1">
      <alignment horizontal="justify" wrapText="1"/>
    </xf>
    <xf numFmtId="0" fontId="13" fillId="0" borderId="4" xfId="0" applyFont="1" applyFill="1" applyBorder="1"/>
    <xf numFmtId="0" fontId="15" fillId="0" borderId="10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 wrapText="1"/>
    </xf>
    <xf numFmtId="0" fontId="15" fillId="0" borderId="24" xfId="0" applyFont="1" applyFill="1" applyBorder="1"/>
    <xf numFmtId="164" fontId="15" fillId="0" borderId="1" xfId="0" applyNumberFormat="1" applyFont="1" applyFill="1" applyBorder="1" applyAlignment="1"/>
    <xf numFmtId="0" fontId="15" fillId="0" borderId="1" xfId="0" applyFont="1" applyFill="1" applyBorder="1" applyAlignment="1"/>
    <xf numFmtId="0" fontId="15" fillId="0" borderId="1" xfId="0" applyFont="1" applyBorder="1" applyAlignment="1"/>
    <xf numFmtId="164" fontId="15" fillId="0" borderId="5" xfId="0" applyNumberFormat="1" applyFont="1" applyBorder="1" applyAlignment="1"/>
    <xf numFmtId="0" fontId="16" fillId="0" borderId="27" xfId="4" applyFont="1" applyBorder="1" applyAlignment="1"/>
    <xf numFmtId="164" fontId="16" fillId="0" borderId="27" xfId="4" applyNumberFormat="1" applyFont="1" applyBorder="1" applyAlignment="1"/>
    <xf numFmtId="0" fontId="16" fillId="0" borderId="29" xfId="4" applyFont="1" applyBorder="1" applyAlignment="1"/>
    <xf numFmtId="164" fontId="16" fillId="0" borderId="29" xfId="4" applyNumberFormat="1" applyFont="1" applyBorder="1" applyAlignment="1"/>
    <xf numFmtId="164" fontId="16" fillId="0" borderId="28" xfId="4" applyNumberFormat="1" applyFont="1" applyBorder="1" applyAlignment="1"/>
    <xf numFmtId="164" fontId="13" fillId="0" borderId="5" xfId="0" applyNumberFormat="1" applyFont="1" applyBorder="1" applyAlignment="1"/>
    <xf numFmtId="0" fontId="13" fillId="0" borderId="1" xfId="0" applyFont="1" applyFill="1" applyBorder="1" applyAlignment="1"/>
    <xf numFmtId="164" fontId="13" fillId="0" borderId="1" xfId="0" applyNumberFormat="1" applyFont="1" applyBorder="1" applyAlignment="1"/>
    <xf numFmtId="164" fontId="15" fillId="0" borderId="1" xfId="0" applyNumberFormat="1" applyFont="1" applyBorder="1" applyAlignment="1"/>
    <xf numFmtId="0" fontId="15" fillId="0" borderId="1" xfId="0" applyFont="1" applyFill="1" applyBorder="1" applyAlignment="1">
      <alignment wrapText="1"/>
    </xf>
    <xf numFmtId="0" fontId="15" fillId="0" borderId="1" xfId="0" applyFont="1" applyBorder="1" applyAlignment="1">
      <alignment wrapText="1"/>
    </xf>
    <xf numFmtId="0" fontId="13" fillId="2" borderId="1" xfId="0" applyFont="1" applyFill="1" applyBorder="1" applyAlignment="1"/>
    <xf numFmtId="164" fontId="15" fillId="2" borderId="1" xfId="0" applyNumberFormat="1" applyFont="1" applyFill="1" applyBorder="1" applyAlignment="1"/>
    <xf numFmtId="0" fontId="15" fillId="0" borderId="11" xfId="0" applyFont="1" applyFill="1" applyBorder="1" applyAlignment="1"/>
    <xf numFmtId="164" fontId="15" fillId="2" borderId="5" xfId="0" applyNumberFormat="1" applyFont="1" applyFill="1" applyBorder="1" applyAlignment="1"/>
    <xf numFmtId="0" fontId="15" fillId="2" borderId="11" xfId="0" applyFont="1" applyFill="1" applyBorder="1" applyAlignment="1"/>
    <xf numFmtId="0" fontId="15" fillId="0" borderId="10" xfId="0" applyFont="1" applyFill="1" applyBorder="1" applyAlignment="1"/>
    <xf numFmtId="0" fontId="15" fillId="0" borderId="10" xfId="0" applyFont="1" applyBorder="1" applyAlignment="1"/>
    <xf numFmtId="164" fontId="15" fillId="0" borderId="12" xfId="0" applyNumberFormat="1" applyFont="1" applyBorder="1" applyAlignment="1"/>
    <xf numFmtId="164" fontId="15" fillId="0" borderId="1" xfId="0" applyNumberFormat="1" applyFont="1" applyBorder="1" applyAlignment="1">
      <alignment horizontal="right"/>
    </xf>
    <xf numFmtId="4" fontId="15" fillId="0" borderId="1" xfId="0" applyNumberFormat="1" applyFont="1" applyBorder="1" applyAlignment="1">
      <alignment horizontal="right"/>
    </xf>
    <xf numFmtId="4" fontId="15" fillId="0" borderId="10" xfId="0" applyNumberFormat="1" applyFont="1" applyBorder="1" applyAlignment="1">
      <alignment horizontal="right"/>
    </xf>
    <xf numFmtId="164" fontId="13" fillId="2" borderId="1" xfId="0" applyNumberFormat="1" applyFont="1" applyFill="1" applyBorder="1" applyAlignment="1"/>
    <xf numFmtId="0" fontId="13" fillId="0" borderId="1" xfId="0" applyNumberFormat="1" applyFont="1" applyFill="1" applyBorder="1" applyAlignment="1">
      <alignment wrapText="1"/>
    </xf>
    <xf numFmtId="4" fontId="15" fillId="2" borderId="1" xfId="0" applyNumberFormat="1" applyFont="1" applyFill="1" applyBorder="1" applyAlignment="1"/>
    <xf numFmtId="0" fontId="17" fillId="0" borderId="1" xfId="0" applyFont="1" applyFill="1" applyBorder="1" applyAlignment="1">
      <alignment wrapText="1"/>
    </xf>
    <xf numFmtId="164" fontId="15" fillId="0" borderId="1" xfId="0" applyNumberFormat="1" applyFont="1" applyBorder="1" applyAlignment="1">
      <alignment wrapText="1"/>
    </xf>
    <xf numFmtId="164" fontId="15" fillId="0" borderId="1" xfId="0" applyNumberFormat="1" applyFont="1" applyFill="1" applyBorder="1" applyAlignment="1">
      <alignment wrapText="1"/>
    </xf>
    <xf numFmtId="164" fontId="15" fillId="0" borderId="1" xfId="1" applyNumberFormat="1" applyFont="1" applyFill="1" applyBorder="1" applyAlignment="1">
      <alignment wrapText="1"/>
    </xf>
    <xf numFmtId="164" fontId="15" fillId="0" borderId="1" xfId="1" applyNumberFormat="1" applyFont="1" applyBorder="1" applyAlignment="1">
      <alignment wrapText="1"/>
    </xf>
    <xf numFmtId="164" fontId="15" fillId="0" borderId="26" xfId="1" applyNumberFormat="1" applyFont="1" applyFill="1" applyBorder="1" applyAlignment="1">
      <alignment wrapText="1"/>
    </xf>
    <xf numFmtId="164" fontId="13" fillId="0" borderId="11" xfId="0" applyNumberFormat="1" applyFont="1" applyBorder="1" applyAlignment="1"/>
    <xf numFmtId="164" fontId="15" fillId="2" borderId="11" xfId="0" applyNumberFormat="1" applyFont="1" applyFill="1" applyBorder="1" applyAlignment="1"/>
    <xf numFmtId="164" fontId="15" fillId="2" borderId="1" xfId="1" applyNumberFormat="1" applyFont="1" applyFill="1" applyBorder="1" applyAlignment="1">
      <alignment wrapText="1"/>
    </xf>
    <xf numFmtId="164" fontId="15" fillId="0" borderId="10" xfId="0" applyNumberFormat="1" applyFont="1" applyBorder="1" applyAlignment="1"/>
    <xf numFmtId="164" fontId="17" fillId="0" borderId="1" xfId="0" applyNumberFormat="1" applyFont="1" applyFill="1" applyBorder="1" applyAlignment="1">
      <alignment wrapText="1"/>
    </xf>
    <xf numFmtId="164" fontId="13" fillId="0" borderId="10" xfId="0" applyNumberFormat="1" applyFont="1" applyBorder="1" applyAlignment="1"/>
    <xf numFmtId="164" fontId="17" fillId="0" borderId="1" xfId="0" applyNumberFormat="1" applyFont="1" applyBorder="1" applyAlignment="1"/>
    <xf numFmtId="164" fontId="17" fillId="0" borderId="10" xfId="0" applyNumberFormat="1" applyFont="1" applyBorder="1" applyAlignment="1"/>
    <xf numFmtId="0" fontId="0" fillId="0" borderId="17" xfId="0" applyBorder="1" applyAlignment="1">
      <alignment vertical="center" wrapText="1"/>
    </xf>
    <xf numFmtId="0" fontId="9" fillId="0" borderId="17" xfId="0" applyFont="1" applyFill="1" applyBorder="1" applyAlignment="1">
      <alignment horizontal="justify" vertical="center" wrapText="1"/>
    </xf>
    <xf numFmtId="0" fontId="1" fillId="0" borderId="30" xfId="0" applyFont="1" applyFill="1" applyBorder="1"/>
    <xf numFmtId="0" fontId="1" fillId="0" borderId="31" xfId="0" applyFont="1" applyFill="1" applyBorder="1"/>
    <xf numFmtId="0" fontId="1" fillId="0" borderId="31" xfId="0" applyFont="1" applyFill="1" applyBorder="1" applyAlignment="1"/>
    <xf numFmtId="0" fontId="0" fillId="0" borderId="31" xfId="0" applyFill="1" applyBorder="1" applyAlignment="1"/>
    <xf numFmtId="166" fontId="12" fillId="0" borderId="31" xfId="0" applyNumberFormat="1" applyFont="1" applyBorder="1" applyAlignment="1"/>
    <xf numFmtId="164" fontId="15" fillId="0" borderId="13" xfId="0" applyNumberFormat="1" applyFont="1" applyBorder="1" applyAlignment="1"/>
    <xf numFmtId="0" fontId="16" fillId="0" borderId="32" xfId="4" applyFont="1" applyBorder="1" applyAlignment="1">
      <alignment wrapText="1"/>
    </xf>
    <xf numFmtId="164" fontId="16" fillId="0" borderId="33" xfId="4" applyNumberFormat="1" applyFont="1" applyBorder="1" applyAlignment="1"/>
    <xf numFmtId="0" fontId="16" fillId="0" borderId="34" xfId="4" applyFont="1" applyBorder="1" applyAlignment="1">
      <alignment wrapText="1"/>
    </xf>
    <xf numFmtId="164" fontId="16" fillId="0" borderId="35" xfId="4" applyNumberFormat="1" applyFont="1" applyBorder="1" applyAlignment="1"/>
    <xf numFmtId="0" fontId="15" fillId="0" borderId="4" xfId="0" applyFont="1" applyFill="1" applyBorder="1" applyAlignment="1">
      <alignment vertical="center" wrapText="1"/>
    </xf>
    <xf numFmtId="0" fontId="15" fillId="0" borderId="4" xfId="0" applyFont="1" applyBorder="1" applyAlignment="1">
      <alignment vertical="center" wrapText="1"/>
    </xf>
    <xf numFmtId="2" fontId="7" fillId="0" borderId="22" xfId="0" applyNumberFormat="1" applyFont="1" applyBorder="1" applyAlignment="1">
      <alignment wrapText="1"/>
    </xf>
    <xf numFmtId="0" fontId="17" fillId="0" borderId="4" xfId="0" applyFont="1" applyBorder="1" applyAlignment="1">
      <alignment vertical="center" wrapText="1"/>
    </xf>
    <xf numFmtId="0" fontId="15" fillId="2" borderId="4" xfId="0" applyFont="1" applyFill="1" applyBorder="1" applyAlignment="1">
      <alignment wrapText="1"/>
    </xf>
    <xf numFmtId="0" fontId="15" fillId="2" borderId="4" xfId="0" applyFont="1" applyFill="1" applyBorder="1" applyAlignment="1">
      <alignment horizontal="justify"/>
    </xf>
    <xf numFmtId="0" fontId="15" fillId="2" borderId="4" xfId="0" applyFont="1" applyFill="1" applyBorder="1" applyAlignment="1">
      <alignment vertical="center" wrapText="1"/>
    </xf>
    <xf numFmtId="164" fontId="15" fillId="2" borderId="5" xfId="0" applyNumberFormat="1" applyFont="1" applyFill="1" applyBorder="1" applyAlignment="1">
      <alignment wrapText="1"/>
    </xf>
    <xf numFmtId="164" fontId="15" fillId="0" borderId="5" xfId="2" applyNumberFormat="1" applyFont="1" applyBorder="1" applyAlignment="1"/>
    <xf numFmtId="0" fontId="15" fillId="0" borderId="4" xfId="0" applyFont="1" applyBorder="1" applyAlignment="1">
      <alignment horizontal="justify" vertical="center" wrapText="1"/>
    </xf>
    <xf numFmtId="0" fontId="15" fillId="0" borderId="7" xfId="0" applyFont="1" applyBorder="1" applyAlignment="1">
      <alignment horizontal="justify" vertical="center" wrapText="1"/>
    </xf>
    <xf numFmtId="164" fontId="15" fillId="0" borderId="12" xfId="2" applyNumberFormat="1" applyFont="1" applyBorder="1" applyAlignment="1"/>
    <xf numFmtId="0" fontId="17" fillId="0" borderId="4" xfId="0" applyFont="1" applyFill="1" applyBorder="1" applyAlignment="1">
      <alignment horizontal="justify" vertical="center" wrapText="1"/>
    </xf>
    <xf numFmtId="164" fontId="15" fillId="0" borderId="5" xfId="0" applyNumberFormat="1" applyFont="1" applyBorder="1" applyAlignment="1">
      <alignment wrapText="1"/>
    </xf>
    <xf numFmtId="0" fontId="7" fillId="0" borderId="23" xfId="0" applyFont="1" applyFill="1" applyBorder="1" applyAlignment="1">
      <alignment horizontal="left" vertical="top" wrapText="1"/>
    </xf>
    <xf numFmtId="0" fontId="15" fillId="0" borderId="24" xfId="0" applyFont="1" applyFill="1" applyBorder="1" applyAlignment="1">
      <alignment horizontal="justify"/>
    </xf>
    <xf numFmtId="0" fontId="15" fillId="0" borderId="24" xfId="0" applyFont="1" applyFill="1" applyBorder="1" applyAlignment="1"/>
    <xf numFmtId="164" fontId="15" fillId="0" borderId="24" xfId="0" applyNumberFormat="1" applyFont="1" applyFill="1" applyBorder="1" applyAlignment="1"/>
    <xf numFmtId="164" fontId="15" fillId="0" borderId="24" xfId="0" applyNumberFormat="1" applyFont="1" applyBorder="1" applyAlignment="1"/>
    <xf numFmtId="164" fontId="15" fillId="0" borderId="36" xfId="0" applyNumberFormat="1" applyFont="1" applyBorder="1" applyAlignment="1"/>
    <xf numFmtId="0" fontId="0" fillId="0" borderId="0" xfId="0"/>
    <xf numFmtId="167" fontId="17" fillId="0" borderId="25" xfId="5" applyNumberFormat="1" applyFont="1" applyFill="1" applyBorder="1" applyAlignment="1" applyProtection="1">
      <protection hidden="1"/>
    </xf>
    <xf numFmtId="0" fontId="15" fillId="2" borderId="4" xfId="0" applyNumberFormat="1" applyFont="1" applyFill="1" applyBorder="1" applyAlignment="1">
      <alignment horizontal="justify" wrapText="1"/>
    </xf>
    <xf numFmtId="0" fontId="15" fillId="2" borderId="25" xfId="0" applyFont="1" applyFill="1" applyBorder="1" applyAlignment="1">
      <alignment horizontal="justify"/>
    </xf>
    <xf numFmtId="0" fontId="15" fillId="2" borderId="25" xfId="0" applyFont="1" applyFill="1" applyBorder="1" applyAlignment="1">
      <alignment horizontal="justify" wrapText="1"/>
    </xf>
    <xf numFmtId="0" fontId="15" fillId="2" borderId="25" xfId="0" applyFont="1" applyFill="1" applyBorder="1" applyAlignment="1">
      <alignment wrapText="1"/>
    </xf>
    <xf numFmtId="0" fontId="17" fillId="2" borderId="25" xfId="0" applyFont="1" applyFill="1" applyBorder="1"/>
    <xf numFmtId="0" fontId="16" fillId="0" borderId="38" xfId="4" applyFont="1" applyBorder="1"/>
    <xf numFmtId="0" fontId="16" fillId="0" borderId="38" xfId="4" applyFont="1" applyBorder="1" applyAlignment="1"/>
    <xf numFmtId="164" fontId="16" fillId="0" borderId="39" xfId="4" applyNumberFormat="1" applyFont="1" applyBorder="1" applyAlignment="1"/>
    <xf numFmtId="164" fontId="16" fillId="0" borderId="38" xfId="4" applyNumberFormat="1" applyFont="1" applyBorder="1" applyAlignment="1"/>
    <xf numFmtId="164" fontId="16" fillId="0" borderId="1" xfId="4" applyNumberFormat="1" applyFont="1" applyBorder="1" applyAlignment="1"/>
    <xf numFmtId="164" fontId="17" fillId="0" borderId="1" xfId="2" applyNumberFormat="1" applyFont="1" applyBorder="1" applyAlignment="1"/>
    <xf numFmtId="0" fontId="7" fillId="2" borderId="37" xfId="0" applyFont="1" applyFill="1" applyBorder="1" applyAlignment="1">
      <alignment horizontal="left" vertical="top" wrapText="1"/>
    </xf>
    <xf numFmtId="166" fontId="15" fillId="0" borderId="5" xfId="0" applyNumberFormat="1" applyFont="1" applyBorder="1" applyAlignment="1">
      <alignment horizontal="right"/>
    </xf>
    <xf numFmtId="0" fontId="15" fillId="0" borderId="4" xfId="0" applyFont="1" applyBorder="1" applyAlignment="1">
      <alignment horizontal="justify" wrapText="1"/>
    </xf>
    <xf numFmtId="0" fontId="15" fillId="0" borderId="1" xfId="0" applyFont="1" applyBorder="1" applyAlignment="1">
      <alignment horizontal="justify" wrapText="1"/>
    </xf>
    <xf numFmtId="0" fontId="15" fillId="0" borderId="15" xfId="0" applyFont="1" applyBorder="1" applyAlignment="1">
      <alignment horizontal="justify" wrapText="1"/>
    </xf>
    <xf numFmtId="0" fontId="15" fillId="0" borderId="10" xfId="0" applyFont="1" applyBorder="1" applyAlignment="1">
      <alignment horizontal="justify" wrapText="1"/>
    </xf>
    <xf numFmtId="0" fontId="15" fillId="0" borderId="7" xfId="0" applyFont="1" applyBorder="1" applyAlignment="1">
      <alignment horizontal="justify" wrapText="1"/>
    </xf>
    <xf numFmtId="168" fontId="0" fillId="0" borderId="1" xfId="0" applyNumberFormat="1" applyBorder="1" applyAlignment="1">
      <alignment horizontal="right"/>
    </xf>
    <xf numFmtId="165" fontId="19" fillId="0" borderId="40" xfId="0" applyNumberFormat="1" applyFont="1" applyBorder="1" applyAlignment="1">
      <alignment horizontal="right" vertical="top" wrapText="1"/>
    </xf>
    <xf numFmtId="0" fontId="15" fillId="0" borderId="0" xfId="0" applyFont="1" applyBorder="1" applyAlignment="1">
      <alignment wrapText="1"/>
    </xf>
    <xf numFmtId="0" fontId="15" fillId="0" borderId="0" xfId="0" applyFont="1" applyBorder="1" applyAlignment="1">
      <alignment horizontal="center" vertical="center" wrapText="1"/>
    </xf>
    <xf numFmtId="168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" fontId="0" fillId="0" borderId="0" xfId="0" applyNumberFormat="1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5" xfId="0" applyBorder="1" applyAlignment="1">
      <alignment wrapText="1"/>
    </xf>
    <xf numFmtId="164" fontId="0" fillId="0" borderId="1" xfId="0" applyNumberFormat="1" applyBorder="1" applyAlignment="1">
      <alignment wrapText="1"/>
    </xf>
    <xf numFmtId="0" fontId="15" fillId="0" borderId="5" xfId="0" applyFont="1" applyBorder="1" applyAlignment="1">
      <alignment wrapText="1"/>
    </xf>
    <xf numFmtId="0" fontId="13" fillId="2" borderId="15" xfId="0" applyFont="1" applyFill="1" applyBorder="1" applyAlignment="1">
      <alignment horizontal="justify"/>
    </xf>
    <xf numFmtId="0" fontId="13" fillId="2" borderId="16" xfId="0" applyFont="1" applyFill="1" applyBorder="1" applyAlignment="1">
      <alignment horizontal="justify"/>
    </xf>
    <xf numFmtId="0" fontId="13" fillId="0" borderId="15" xfId="0" applyFont="1" applyFill="1" applyBorder="1" applyAlignment="1">
      <alignment horizontal="justify"/>
    </xf>
    <xf numFmtId="0" fontId="13" fillId="0" borderId="17" xfId="0" applyFont="1" applyFill="1" applyBorder="1" applyAlignment="1">
      <alignment horizontal="justify"/>
    </xf>
    <xf numFmtId="0" fontId="13" fillId="0" borderId="16" xfId="0" applyFont="1" applyFill="1" applyBorder="1" applyAlignment="1">
      <alignment horizontal="justify"/>
    </xf>
    <xf numFmtId="0" fontId="13" fillId="2" borderId="18" xfId="0" applyFont="1" applyFill="1" applyBorder="1"/>
    <xf numFmtId="0" fontId="13" fillId="2" borderId="19" xfId="0" applyFont="1" applyFill="1" applyBorder="1"/>
    <xf numFmtId="0" fontId="13" fillId="2" borderId="20" xfId="0" applyFont="1" applyFill="1" applyBorder="1"/>
    <xf numFmtId="0" fontId="13" fillId="2" borderId="4" xfId="0" applyFont="1" applyFill="1" applyBorder="1" applyAlignment="1">
      <alignment horizontal="justify"/>
    </xf>
    <xf numFmtId="0" fontId="13" fillId="2" borderId="1" xfId="0" applyFont="1" applyFill="1" applyBorder="1" applyAlignment="1">
      <alignment horizontal="justify"/>
    </xf>
    <xf numFmtId="0" fontId="17" fillId="0" borderId="7" xfId="0" applyFont="1" applyFill="1" applyBorder="1" applyAlignment="1">
      <alignment horizontal="justify" vertical="center"/>
    </xf>
    <xf numFmtId="0" fontId="17" fillId="0" borderId="9" xfId="0" applyFont="1" applyFill="1" applyBorder="1" applyAlignment="1">
      <alignment horizontal="justify" vertical="center"/>
    </xf>
    <xf numFmtId="0" fontId="17" fillId="0" borderId="8" xfId="0" applyFont="1" applyFill="1" applyBorder="1" applyAlignment="1">
      <alignment horizontal="justify" vertical="center"/>
    </xf>
    <xf numFmtId="0" fontId="15" fillId="0" borderId="7" xfId="0" applyFont="1" applyBorder="1" applyAlignment="1">
      <alignment horizontal="justify" wrapText="1"/>
    </xf>
    <xf numFmtId="0" fontId="15" fillId="0" borderId="8" xfId="0" applyFont="1" applyBorder="1" applyAlignment="1">
      <alignment horizontal="justify" wrapText="1"/>
    </xf>
    <xf numFmtId="0" fontId="17" fillId="0" borderId="7" xfId="0" applyFont="1" applyFill="1" applyBorder="1" applyAlignment="1">
      <alignment horizontal="justify"/>
    </xf>
    <xf numFmtId="0" fontId="17" fillId="0" borderId="9" xfId="0" applyFont="1" applyFill="1" applyBorder="1" applyAlignment="1">
      <alignment horizontal="justify"/>
    </xf>
    <xf numFmtId="0" fontId="17" fillId="0" borderId="8" xfId="0" applyFont="1" applyFill="1" applyBorder="1" applyAlignment="1">
      <alignment horizontal="justify"/>
    </xf>
    <xf numFmtId="0" fontId="15" fillId="0" borderId="41" xfId="0" applyNumberFormat="1" applyFont="1" applyFill="1" applyBorder="1" applyAlignment="1">
      <alignment horizontal="justify" vertical="center" wrapText="1"/>
    </xf>
    <xf numFmtId="0" fontId="15" fillId="0" borderId="22" xfId="0" applyNumberFormat="1" applyFont="1" applyFill="1" applyBorder="1" applyAlignment="1">
      <alignment horizontal="justify" vertical="center" wrapText="1"/>
    </xf>
    <xf numFmtId="0" fontId="15" fillId="0" borderId="18" xfId="0" applyNumberFormat="1" applyFont="1" applyFill="1" applyBorder="1" applyAlignment="1">
      <alignment horizontal="justify" vertical="center" wrapText="1"/>
    </xf>
    <xf numFmtId="0" fontId="17" fillId="0" borderId="7" xfId="0" applyFont="1" applyFill="1" applyBorder="1" applyAlignment="1">
      <alignment horizontal="justify" wrapText="1"/>
    </xf>
    <xf numFmtId="0" fontId="17" fillId="0" borderId="8" xfId="0" applyFont="1" applyFill="1" applyBorder="1" applyAlignment="1">
      <alignment horizontal="justify" wrapText="1"/>
    </xf>
    <xf numFmtId="0" fontId="13" fillId="2" borderId="15" xfId="0" applyNumberFormat="1" applyFont="1" applyFill="1" applyBorder="1" applyAlignment="1">
      <alignment horizontal="justify" wrapText="1"/>
    </xf>
    <xf numFmtId="0" fontId="13" fillId="2" borderId="16" xfId="0" applyNumberFormat="1" applyFont="1" applyFill="1" applyBorder="1" applyAlignment="1">
      <alignment horizontal="justify" wrapText="1"/>
    </xf>
    <xf numFmtId="164" fontId="15" fillId="0" borderId="10" xfId="0" applyNumberFormat="1" applyFont="1" applyBorder="1" applyAlignment="1">
      <alignment horizontal="right"/>
    </xf>
    <xf numFmtId="164" fontId="15" fillId="0" borderId="11" xfId="0" applyNumberFormat="1" applyFont="1" applyBorder="1" applyAlignment="1">
      <alignment horizontal="right"/>
    </xf>
    <xf numFmtId="166" fontId="15" fillId="0" borderId="12" xfId="0" applyNumberFormat="1" applyFont="1" applyBorder="1" applyAlignment="1">
      <alignment horizontal="right"/>
    </xf>
    <xf numFmtId="166" fontId="15" fillId="0" borderId="14" xfId="0" applyNumberFormat="1" applyFont="1" applyBorder="1" applyAlignment="1">
      <alignment horizontal="right"/>
    </xf>
    <xf numFmtId="164" fontId="15" fillId="0" borderId="12" xfId="0" applyNumberFormat="1" applyFont="1" applyBorder="1" applyAlignment="1">
      <alignment horizontal="right"/>
    </xf>
    <xf numFmtId="164" fontId="15" fillId="0" borderId="14" xfId="0" applyNumberFormat="1" applyFont="1" applyBorder="1" applyAlignment="1">
      <alignment horizontal="right"/>
    </xf>
    <xf numFmtId="164" fontId="15" fillId="2" borderId="1" xfId="0" applyNumberFormat="1" applyFont="1" applyFill="1" applyBorder="1" applyAlignment="1"/>
    <xf numFmtId="0" fontId="2" fillId="0" borderId="0" xfId="0" applyFont="1" applyAlignment="1">
      <alignment horizontal="justify"/>
    </xf>
    <xf numFmtId="0" fontId="3" fillId="0" borderId="2" xfId="0" applyFont="1" applyBorder="1" applyAlignment="1">
      <alignment horizontal="justify"/>
    </xf>
    <xf numFmtId="0" fontId="3" fillId="0" borderId="3" xfId="0" applyFont="1" applyBorder="1" applyAlignment="1">
      <alignment horizontal="justify"/>
    </xf>
    <xf numFmtId="0" fontId="2" fillId="0" borderId="6" xfId="0" applyFont="1" applyBorder="1" applyAlignment="1">
      <alignment horizontal="justify" vertical="center"/>
    </xf>
    <xf numFmtId="0" fontId="2" fillId="0" borderId="4" xfId="0" applyFont="1" applyBorder="1" applyAlignment="1">
      <alignment horizontal="justify" vertical="center"/>
    </xf>
    <xf numFmtId="0" fontId="2" fillId="0" borderId="2" xfId="0" applyFont="1" applyBorder="1" applyAlignment="1">
      <alignment horizontal="justify" vertical="center"/>
    </xf>
    <xf numFmtId="0" fontId="2" fillId="0" borderId="1" xfId="0" applyFont="1" applyBorder="1" applyAlignment="1">
      <alignment horizontal="justify" vertical="center"/>
    </xf>
    <xf numFmtId="0" fontId="4" fillId="0" borderId="2" xfId="0" applyFont="1" applyBorder="1" applyAlignment="1">
      <alignment horizontal="justify" wrapText="1"/>
    </xf>
    <xf numFmtId="0" fontId="4" fillId="0" borderId="2" xfId="0" applyFont="1" applyBorder="1" applyAlignment="1">
      <alignment horizontal="justify"/>
    </xf>
  </cellXfs>
  <cellStyles count="6">
    <cellStyle name="Excel Built-in Normal" xfId="4"/>
    <cellStyle name="Обычный" xfId="0" builtinId="0"/>
    <cellStyle name="Обычный 2" xfId="5"/>
    <cellStyle name="Плохой" xfId="3" builtinId="27"/>
    <cellStyle name="Процентный" xfId="2" builtinId="5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H201"/>
  <sheetViews>
    <sheetView tabSelected="1" topLeftCell="A67" workbookViewId="0">
      <selection activeCell="A74" sqref="A74:B74"/>
    </sheetView>
  </sheetViews>
  <sheetFormatPr defaultRowHeight="15.75"/>
  <cols>
    <col min="1" max="1" width="49.7109375" style="1" customWidth="1"/>
    <col min="2" max="2" width="31.85546875" style="1" customWidth="1"/>
    <col min="3" max="3" width="9.7109375" style="1" customWidth="1"/>
    <col min="4" max="4" width="12" style="1" customWidth="1"/>
    <col min="5" max="5" width="10.7109375" style="1" customWidth="1"/>
    <col min="6" max="6" width="10.28515625" customWidth="1"/>
    <col min="7" max="7" width="6.42578125" customWidth="1"/>
    <col min="8" max="10" width="11.85546875" customWidth="1"/>
    <col min="11" max="11" width="9.7109375" customWidth="1"/>
    <col min="12" max="12" width="7.42578125" customWidth="1"/>
    <col min="13" max="13" width="9.140625" hidden="1" customWidth="1"/>
    <col min="14" max="14" width="17.7109375" customWidth="1"/>
    <col min="16" max="16" width="12.28515625" customWidth="1"/>
    <col min="17" max="17" width="14.42578125" customWidth="1"/>
    <col min="18" max="18" width="12.7109375" customWidth="1"/>
  </cols>
  <sheetData>
    <row r="2" spans="1:25">
      <c r="A2" s="217" t="s">
        <v>62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</row>
    <row r="3" spans="1:25">
      <c r="A3" s="217" t="s">
        <v>188</v>
      </c>
      <c r="B3" s="217"/>
      <c r="C3" s="217"/>
      <c r="D3" s="217"/>
      <c r="E3" s="217"/>
      <c r="F3" s="217"/>
      <c r="G3" s="217"/>
      <c r="H3" s="217"/>
      <c r="I3" s="217"/>
      <c r="J3" s="217"/>
      <c r="K3" s="217"/>
    </row>
    <row r="4" spans="1:25" ht="16.5" thickBot="1"/>
    <row r="5" spans="1:25" ht="71.25" customHeight="1">
      <c r="A5" s="220" t="s">
        <v>20</v>
      </c>
      <c r="B5" s="222" t="s">
        <v>21</v>
      </c>
      <c r="C5" s="222" t="s">
        <v>17</v>
      </c>
      <c r="D5" s="224" t="s">
        <v>63</v>
      </c>
      <c r="E5" s="224"/>
      <c r="F5" s="225"/>
      <c r="G5" s="225"/>
      <c r="H5" s="218" t="s">
        <v>59</v>
      </c>
      <c r="I5" s="218"/>
      <c r="J5" s="218"/>
      <c r="K5" s="219"/>
    </row>
    <row r="6" spans="1:25" ht="53.25" customHeight="1">
      <c r="A6" s="221"/>
      <c r="B6" s="223"/>
      <c r="C6" s="223"/>
      <c r="D6" s="19" t="s">
        <v>82</v>
      </c>
      <c r="E6" s="19" t="s">
        <v>83</v>
      </c>
      <c r="F6" s="5" t="s">
        <v>57</v>
      </c>
      <c r="G6" s="5" t="s">
        <v>58</v>
      </c>
      <c r="H6" s="19" t="s">
        <v>82</v>
      </c>
      <c r="I6" s="19" t="s">
        <v>83</v>
      </c>
      <c r="J6" s="5" t="s">
        <v>60</v>
      </c>
      <c r="K6" s="6" t="s">
        <v>58</v>
      </c>
    </row>
    <row r="7" spans="1:25" ht="54.75" customHeight="1">
      <c r="A7" s="185" t="s">
        <v>70</v>
      </c>
      <c r="B7" s="186"/>
      <c r="C7" s="51"/>
      <c r="D7" s="94"/>
      <c r="E7" s="94"/>
      <c r="F7" s="94"/>
      <c r="G7" s="105"/>
      <c r="H7" s="105">
        <f>SUM(H8:H26)</f>
        <v>118842.2</v>
      </c>
      <c r="I7" s="105">
        <f t="shared" ref="I7:J7" si="0">SUM(I8:I26)</f>
        <v>137592</v>
      </c>
      <c r="J7" s="105">
        <f t="shared" si="0"/>
        <v>137143.20000000001</v>
      </c>
      <c r="K7" s="88">
        <f>J7/I7*100</f>
        <v>99.7</v>
      </c>
      <c r="L7" s="3"/>
      <c r="M7" s="2"/>
      <c r="N7" s="176"/>
      <c r="O7" s="176"/>
      <c r="P7" s="176"/>
      <c r="Q7" s="177"/>
      <c r="R7" s="177"/>
      <c r="S7" s="177"/>
      <c r="T7" s="177"/>
      <c r="U7" s="178"/>
      <c r="V7" s="178"/>
      <c r="W7" s="178"/>
      <c r="X7" s="179"/>
      <c r="Y7" s="2"/>
    </row>
    <row r="8" spans="1:25" ht="21.75" customHeight="1">
      <c r="A8" s="139" t="s">
        <v>30</v>
      </c>
      <c r="B8" s="158" t="s">
        <v>31</v>
      </c>
      <c r="C8" s="93" t="s">
        <v>231</v>
      </c>
      <c r="D8" s="80">
        <v>217</v>
      </c>
      <c r="E8" s="80">
        <v>217</v>
      </c>
      <c r="F8" s="80">
        <v>84</v>
      </c>
      <c r="G8" s="79">
        <f>F8/E8*100</f>
        <v>38.700000000000003</v>
      </c>
      <c r="H8" s="174">
        <v>8909.4</v>
      </c>
      <c r="I8" s="91">
        <v>9270.4</v>
      </c>
      <c r="J8" s="91">
        <v>9270.4</v>
      </c>
      <c r="K8" s="82">
        <f>J8/I8*100</f>
        <v>100</v>
      </c>
      <c r="L8" s="3"/>
      <c r="M8" s="2"/>
      <c r="N8" s="176"/>
      <c r="O8" s="176"/>
      <c r="P8" s="176"/>
      <c r="Q8" s="179"/>
      <c r="R8" s="179"/>
      <c r="S8" s="179"/>
      <c r="T8" s="180"/>
      <c r="U8" s="178"/>
      <c r="V8" s="178"/>
      <c r="W8" s="178"/>
      <c r="X8" s="179"/>
      <c r="Y8" s="2"/>
    </row>
    <row r="9" spans="1:25" ht="20.25" customHeight="1">
      <c r="A9" s="167" t="s">
        <v>195</v>
      </c>
      <c r="B9" s="159" t="s">
        <v>33</v>
      </c>
      <c r="C9" s="93" t="s">
        <v>231</v>
      </c>
      <c r="D9" s="80">
        <v>170</v>
      </c>
      <c r="E9" s="80">
        <v>170</v>
      </c>
      <c r="F9" s="80">
        <v>170</v>
      </c>
      <c r="G9" s="79">
        <f t="shared" ref="G9:G88" si="1">F9/E9*100</f>
        <v>100</v>
      </c>
      <c r="H9" s="174">
        <v>2399.6</v>
      </c>
      <c r="I9" s="91">
        <v>2421.6999999999998</v>
      </c>
      <c r="J9" s="91">
        <v>2421.6999999999998</v>
      </c>
      <c r="K9" s="82">
        <f t="shared" ref="K9:K104" si="2">J9/I9*100</f>
        <v>100</v>
      </c>
      <c r="L9" s="3"/>
      <c r="M9" s="2"/>
      <c r="N9" s="176"/>
      <c r="O9" s="176"/>
      <c r="P9" s="176"/>
      <c r="Q9" s="179"/>
      <c r="R9" s="179"/>
      <c r="S9" s="179"/>
      <c r="T9" s="179"/>
      <c r="U9" s="178"/>
      <c r="V9" s="178"/>
      <c r="W9" s="178"/>
      <c r="X9" s="179"/>
      <c r="Y9" s="2"/>
    </row>
    <row r="10" spans="1:25" ht="45.75">
      <c r="A10" s="139" t="s">
        <v>34</v>
      </c>
      <c r="B10" s="160" t="s">
        <v>35</v>
      </c>
      <c r="C10" s="54" t="s">
        <v>36</v>
      </c>
      <c r="D10" s="80">
        <v>3187</v>
      </c>
      <c r="E10" s="80">
        <v>3187</v>
      </c>
      <c r="F10" s="80">
        <v>3187</v>
      </c>
      <c r="G10" s="79">
        <f t="shared" si="1"/>
        <v>100</v>
      </c>
      <c r="H10" s="91">
        <v>4291.8</v>
      </c>
      <c r="I10" s="91">
        <v>4291.8999999999996</v>
      </c>
      <c r="J10" s="91">
        <v>4291.8999999999996</v>
      </c>
      <c r="K10" s="82">
        <f t="shared" si="2"/>
        <v>100</v>
      </c>
      <c r="L10" s="3"/>
      <c r="M10" s="2"/>
      <c r="N10" s="176"/>
      <c r="O10" s="176"/>
      <c r="P10" s="176"/>
      <c r="Q10" s="177"/>
      <c r="R10" s="177"/>
      <c r="S10" s="177"/>
      <c r="T10" s="177"/>
      <c r="U10" s="178"/>
      <c r="V10" s="178"/>
      <c r="W10" s="178"/>
      <c r="X10" s="179"/>
      <c r="Y10" s="2"/>
    </row>
    <row r="11" spans="1:25" ht="45.75">
      <c r="A11" s="156" t="s">
        <v>48</v>
      </c>
      <c r="B11" s="157" t="s">
        <v>37</v>
      </c>
      <c r="C11" s="53" t="s">
        <v>38</v>
      </c>
      <c r="D11" s="80">
        <v>0.89390000000000003</v>
      </c>
      <c r="E11" s="80">
        <v>0.89390000000000003</v>
      </c>
      <c r="F11" s="80">
        <v>0.89390000000000003</v>
      </c>
      <c r="G11" s="79">
        <f t="shared" si="1"/>
        <v>100</v>
      </c>
      <c r="H11" s="91">
        <v>3299.2</v>
      </c>
      <c r="I11" s="91">
        <v>3364.4</v>
      </c>
      <c r="J11" s="91">
        <v>3364.4</v>
      </c>
      <c r="K11" s="82">
        <f t="shared" si="2"/>
        <v>100</v>
      </c>
      <c r="L11" s="3"/>
      <c r="M11" s="2"/>
      <c r="N11" s="176"/>
      <c r="O11" s="176"/>
      <c r="P11" s="176"/>
      <c r="Q11" s="179"/>
      <c r="R11" s="179"/>
      <c r="S11" s="179"/>
      <c r="T11" s="179"/>
      <c r="U11" s="178"/>
      <c r="V11" s="178"/>
      <c r="W11" s="178"/>
      <c r="X11" s="179"/>
      <c r="Y11" s="2"/>
    </row>
    <row r="12" spans="1:25" s="154" customFormat="1" ht="30.75">
      <c r="A12" s="167" t="s">
        <v>196</v>
      </c>
      <c r="B12" s="93" t="s">
        <v>230</v>
      </c>
      <c r="C12" s="93" t="s">
        <v>202</v>
      </c>
      <c r="D12" s="80">
        <v>20300</v>
      </c>
      <c r="E12" s="80">
        <v>20300</v>
      </c>
      <c r="F12" s="80">
        <v>20300</v>
      </c>
      <c r="G12" s="79">
        <f t="shared" si="1"/>
        <v>100</v>
      </c>
      <c r="H12" s="91">
        <v>5930.8</v>
      </c>
      <c r="I12" s="91">
        <v>5930.8</v>
      </c>
      <c r="J12" s="91">
        <v>5930.8</v>
      </c>
      <c r="K12" s="82">
        <f t="shared" si="2"/>
        <v>100</v>
      </c>
      <c r="L12" s="3"/>
      <c r="M12" s="2"/>
      <c r="N12" s="175"/>
    </row>
    <row r="13" spans="1:25" ht="60.75">
      <c r="A13" s="130" t="s">
        <v>172</v>
      </c>
      <c r="B13" s="43" t="s">
        <v>173</v>
      </c>
      <c r="C13" s="161" t="s">
        <v>39</v>
      </c>
      <c r="D13" s="162">
        <v>449186</v>
      </c>
      <c r="E13" s="162">
        <v>449186</v>
      </c>
      <c r="F13" s="162">
        <v>449423</v>
      </c>
      <c r="G13" s="79">
        <f t="shared" si="1"/>
        <v>100.1</v>
      </c>
      <c r="H13" s="165">
        <f>(10759658.52-47.78)/1000</f>
        <v>10759.6</v>
      </c>
      <c r="I13" s="166">
        <v>12854.2</v>
      </c>
      <c r="J13" s="165">
        <v>12802.9</v>
      </c>
      <c r="K13" s="163">
        <f>J13/I13*100</f>
        <v>99.6</v>
      </c>
      <c r="L13" s="3"/>
      <c r="M13" s="2"/>
    </row>
    <row r="14" spans="1:25" ht="60.75">
      <c r="A14" s="130" t="s">
        <v>172</v>
      </c>
      <c r="B14" s="43" t="s">
        <v>174</v>
      </c>
      <c r="C14" s="44" t="s">
        <v>1</v>
      </c>
      <c r="D14" s="83">
        <v>229570</v>
      </c>
      <c r="E14" s="83">
        <v>229570</v>
      </c>
      <c r="F14" s="83">
        <v>229574</v>
      </c>
      <c r="G14" s="79">
        <f t="shared" si="1"/>
        <v>100</v>
      </c>
      <c r="H14" s="164">
        <v>4670</v>
      </c>
      <c r="I14" s="164">
        <v>5579.1</v>
      </c>
      <c r="J14" s="164">
        <v>5556.8</v>
      </c>
      <c r="K14" s="131">
        <f t="shared" ref="K14:K26" si="3">J14/I14*100</f>
        <v>99.6</v>
      </c>
      <c r="L14" s="3"/>
      <c r="M14" s="2"/>
    </row>
    <row r="15" spans="1:25" ht="60.75">
      <c r="A15" s="130" t="s">
        <v>172</v>
      </c>
      <c r="B15" s="43" t="s">
        <v>175</v>
      </c>
      <c r="C15" s="44" t="s">
        <v>29</v>
      </c>
      <c r="D15" s="83">
        <v>4530</v>
      </c>
      <c r="E15" s="83">
        <v>4530</v>
      </c>
      <c r="F15" s="83">
        <v>4530</v>
      </c>
      <c r="G15" s="79">
        <f t="shared" si="1"/>
        <v>100</v>
      </c>
      <c r="H15" s="84">
        <v>3601.3</v>
      </c>
      <c r="I15" s="84">
        <v>4302.3999999999996</v>
      </c>
      <c r="J15" s="84">
        <v>4285.2</v>
      </c>
      <c r="K15" s="131">
        <f t="shared" si="3"/>
        <v>99.6</v>
      </c>
      <c r="L15" s="3"/>
      <c r="M15" s="2"/>
    </row>
    <row r="16" spans="1:25" ht="60.75">
      <c r="A16" s="130" t="s">
        <v>176</v>
      </c>
      <c r="B16" s="43" t="s">
        <v>175</v>
      </c>
      <c r="C16" s="44" t="s">
        <v>29</v>
      </c>
      <c r="D16" s="83">
        <v>9178</v>
      </c>
      <c r="E16" s="83">
        <v>9178</v>
      </c>
      <c r="F16" s="83">
        <v>9182</v>
      </c>
      <c r="G16" s="79">
        <f t="shared" si="1"/>
        <v>100</v>
      </c>
      <c r="H16" s="84">
        <v>5279.6</v>
      </c>
      <c r="I16" s="84">
        <v>6307.3</v>
      </c>
      <c r="J16" s="84">
        <v>6282.1</v>
      </c>
      <c r="K16" s="131">
        <f t="shared" si="3"/>
        <v>99.6</v>
      </c>
      <c r="L16" s="3"/>
      <c r="M16" s="2"/>
    </row>
    <row r="17" spans="1:15" ht="60.75">
      <c r="A17" s="130" t="s">
        <v>176</v>
      </c>
      <c r="B17" s="43" t="s">
        <v>177</v>
      </c>
      <c r="C17" s="44" t="s">
        <v>178</v>
      </c>
      <c r="D17" s="83">
        <v>1766225</v>
      </c>
      <c r="E17" s="83">
        <v>1766225</v>
      </c>
      <c r="F17" s="83">
        <v>1766247</v>
      </c>
      <c r="G17" s="79">
        <f t="shared" si="1"/>
        <v>100</v>
      </c>
      <c r="H17" s="84">
        <v>18912.900000000001</v>
      </c>
      <c r="I17" s="84">
        <v>22594.7</v>
      </c>
      <c r="J17" s="84">
        <v>22504.5</v>
      </c>
      <c r="K17" s="131">
        <f t="shared" si="3"/>
        <v>99.6</v>
      </c>
      <c r="L17" s="3"/>
      <c r="M17" s="2"/>
    </row>
    <row r="18" spans="1:15" ht="75.75">
      <c r="A18" s="130" t="s">
        <v>179</v>
      </c>
      <c r="B18" s="43" t="s">
        <v>175</v>
      </c>
      <c r="C18" s="44" t="s">
        <v>29</v>
      </c>
      <c r="D18" s="83">
        <v>44</v>
      </c>
      <c r="E18" s="83">
        <v>44</v>
      </c>
      <c r="F18" s="83">
        <v>44</v>
      </c>
      <c r="G18" s="79">
        <f t="shared" si="1"/>
        <v>100</v>
      </c>
      <c r="H18" s="84">
        <f>173755.74/1000</f>
        <v>173.8</v>
      </c>
      <c r="I18" s="84">
        <v>207.6</v>
      </c>
      <c r="J18" s="84">
        <v>206.8</v>
      </c>
      <c r="K18" s="131">
        <f t="shared" si="3"/>
        <v>99.6</v>
      </c>
      <c r="L18" s="3"/>
      <c r="M18" s="2"/>
    </row>
    <row r="19" spans="1:15" ht="75.75">
      <c r="A19" s="130" t="s">
        <v>179</v>
      </c>
      <c r="B19" s="43" t="s">
        <v>177</v>
      </c>
      <c r="C19" s="44" t="s">
        <v>178</v>
      </c>
      <c r="D19" s="83">
        <v>1700</v>
      </c>
      <c r="E19" s="83">
        <v>1700</v>
      </c>
      <c r="F19" s="83">
        <v>1773</v>
      </c>
      <c r="G19" s="79">
        <f t="shared" si="1"/>
        <v>104.3</v>
      </c>
      <c r="H19" s="84">
        <v>595.70000000000005</v>
      </c>
      <c r="I19" s="84">
        <v>711.7</v>
      </c>
      <c r="J19" s="84">
        <v>708.8</v>
      </c>
      <c r="K19" s="131">
        <f t="shared" si="3"/>
        <v>99.6</v>
      </c>
      <c r="L19" s="3"/>
      <c r="M19" s="2"/>
    </row>
    <row r="20" spans="1:15" ht="60.75">
      <c r="A20" s="130" t="s">
        <v>180</v>
      </c>
      <c r="B20" s="43" t="s">
        <v>175</v>
      </c>
      <c r="C20" s="44" t="s">
        <v>29</v>
      </c>
      <c r="D20" s="83">
        <v>1472</v>
      </c>
      <c r="E20" s="83">
        <v>1472</v>
      </c>
      <c r="F20" s="83">
        <v>1472</v>
      </c>
      <c r="G20" s="79">
        <f t="shared" si="1"/>
        <v>100</v>
      </c>
      <c r="H20" s="84">
        <v>7638.4</v>
      </c>
      <c r="I20" s="84">
        <v>9125.4</v>
      </c>
      <c r="J20" s="84">
        <v>9088.9</v>
      </c>
      <c r="K20" s="131">
        <f t="shared" si="3"/>
        <v>99.6</v>
      </c>
      <c r="L20" s="3"/>
      <c r="M20" s="2"/>
    </row>
    <row r="21" spans="1:15" ht="30.75">
      <c r="A21" s="130" t="s">
        <v>181</v>
      </c>
      <c r="B21" s="43" t="s">
        <v>182</v>
      </c>
      <c r="C21" s="44" t="s">
        <v>29</v>
      </c>
      <c r="D21" s="83">
        <v>439</v>
      </c>
      <c r="E21" s="83">
        <v>439</v>
      </c>
      <c r="F21" s="83">
        <v>439</v>
      </c>
      <c r="G21" s="79">
        <f t="shared" si="1"/>
        <v>100</v>
      </c>
      <c r="H21" s="84">
        <v>5538.9</v>
      </c>
      <c r="I21" s="84">
        <v>6617.1</v>
      </c>
      <c r="J21" s="84">
        <v>6590.7</v>
      </c>
      <c r="K21" s="131">
        <f t="shared" si="3"/>
        <v>99.6</v>
      </c>
      <c r="L21" s="3"/>
      <c r="M21" s="2"/>
    </row>
    <row r="22" spans="1:15" ht="45.75">
      <c r="A22" s="130" t="s">
        <v>183</v>
      </c>
      <c r="B22" s="43" t="s">
        <v>174</v>
      </c>
      <c r="C22" s="44" t="s">
        <v>32</v>
      </c>
      <c r="D22" s="83">
        <v>1711</v>
      </c>
      <c r="E22" s="83">
        <v>1719</v>
      </c>
      <c r="F22" s="83">
        <v>1789</v>
      </c>
      <c r="G22" s="79">
        <f t="shared" si="1"/>
        <v>104.1</v>
      </c>
      <c r="H22" s="84">
        <f>1564.7489</f>
        <v>1564.7</v>
      </c>
      <c r="I22" s="84">
        <v>1869.4</v>
      </c>
      <c r="J22" s="84">
        <v>1861.9</v>
      </c>
      <c r="K22" s="131">
        <f t="shared" si="3"/>
        <v>99.6</v>
      </c>
      <c r="L22" s="3"/>
      <c r="M22" s="2"/>
    </row>
    <row r="23" spans="1:15" ht="45.75">
      <c r="A23" s="130" t="s">
        <v>183</v>
      </c>
      <c r="B23" s="43" t="s">
        <v>184</v>
      </c>
      <c r="C23" s="44" t="s">
        <v>1</v>
      </c>
      <c r="D23" s="83">
        <v>1726</v>
      </c>
      <c r="E23" s="83">
        <v>1734</v>
      </c>
      <c r="F23" s="83">
        <v>1804</v>
      </c>
      <c r="G23" s="79">
        <f t="shared" si="1"/>
        <v>104</v>
      </c>
      <c r="H23" s="84">
        <f>4123.79288</f>
        <v>4123.8</v>
      </c>
      <c r="I23" s="84">
        <v>4926.6000000000004</v>
      </c>
      <c r="J23" s="84">
        <v>4906.8999999999996</v>
      </c>
      <c r="K23" s="131">
        <f t="shared" si="3"/>
        <v>99.6</v>
      </c>
      <c r="L23" s="3"/>
      <c r="M23" s="2"/>
    </row>
    <row r="24" spans="1:15" ht="60.75">
      <c r="A24" s="130" t="s">
        <v>185</v>
      </c>
      <c r="B24" s="43" t="s">
        <v>175</v>
      </c>
      <c r="C24" s="44" t="s">
        <v>29</v>
      </c>
      <c r="D24" s="83">
        <v>6126</v>
      </c>
      <c r="E24" s="83">
        <v>6126</v>
      </c>
      <c r="F24" s="83">
        <v>6129</v>
      </c>
      <c r="G24" s="79">
        <f t="shared" si="1"/>
        <v>100</v>
      </c>
      <c r="H24" s="84">
        <v>5152.6000000000004</v>
      </c>
      <c r="I24" s="84">
        <v>6155.6</v>
      </c>
      <c r="J24" s="84">
        <v>6131</v>
      </c>
      <c r="K24" s="131">
        <f t="shared" si="3"/>
        <v>99.6</v>
      </c>
      <c r="L24" s="3"/>
      <c r="M24" s="2"/>
    </row>
    <row r="25" spans="1:15" ht="60.75">
      <c r="A25" s="130" t="s">
        <v>185</v>
      </c>
      <c r="B25" s="43" t="s">
        <v>184</v>
      </c>
      <c r="C25" s="44" t="s">
        <v>1</v>
      </c>
      <c r="D25" s="83">
        <v>390367</v>
      </c>
      <c r="E25" s="83">
        <v>405209</v>
      </c>
      <c r="F25" s="83">
        <v>405269</v>
      </c>
      <c r="G25" s="79">
        <f t="shared" si="1"/>
        <v>100</v>
      </c>
      <c r="H25" s="84">
        <f>(19419805.93-1517600)/1000</f>
        <v>17902.2</v>
      </c>
      <c r="I25" s="84">
        <v>21387.3</v>
      </c>
      <c r="J25" s="84">
        <v>21301.8</v>
      </c>
      <c r="K25" s="131">
        <f t="shared" si="3"/>
        <v>99.6</v>
      </c>
      <c r="L25" s="3"/>
      <c r="M25" s="2"/>
    </row>
    <row r="26" spans="1:15" ht="31.5" thickBot="1">
      <c r="A26" s="132" t="s">
        <v>186</v>
      </c>
      <c r="B26" s="45" t="s">
        <v>175</v>
      </c>
      <c r="C26" s="46" t="s">
        <v>29</v>
      </c>
      <c r="D26" s="85">
        <v>28878</v>
      </c>
      <c r="E26" s="85">
        <v>28878</v>
      </c>
      <c r="F26" s="85">
        <v>28878</v>
      </c>
      <c r="G26" s="79">
        <f t="shared" si="1"/>
        <v>100</v>
      </c>
      <c r="H26" s="86">
        <v>8097.9</v>
      </c>
      <c r="I26" s="87">
        <v>9674.4</v>
      </c>
      <c r="J26" s="86">
        <v>9635.7000000000007</v>
      </c>
      <c r="K26" s="133">
        <f t="shared" si="3"/>
        <v>99.6</v>
      </c>
      <c r="L26" s="3"/>
      <c r="M26" s="2"/>
    </row>
    <row r="27" spans="1:15" ht="35.25" customHeight="1">
      <c r="A27" s="208" t="s">
        <v>72</v>
      </c>
      <c r="B27" s="209"/>
      <c r="C27" s="56"/>
      <c r="D27" s="106"/>
      <c r="E27" s="106"/>
      <c r="F27" s="80"/>
      <c r="G27" s="79"/>
      <c r="H27" s="90">
        <f>SUM(H28:H47)</f>
        <v>127646</v>
      </c>
      <c r="I27" s="90">
        <f t="shared" ref="I27:J27" si="4">SUM(I28:I47)</f>
        <v>127875</v>
      </c>
      <c r="J27" s="90">
        <f t="shared" si="4"/>
        <v>125218.2</v>
      </c>
      <c r="K27" s="88">
        <f t="shared" si="2"/>
        <v>97.9</v>
      </c>
      <c r="L27" s="3"/>
      <c r="M27" s="2"/>
    </row>
    <row r="28" spans="1:15" s="154" customFormat="1" ht="60.75">
      <c r="A28" s="169" t="s">
        <v>197</v>
      </c>
      <c r="B28" s="170" t="s">
        <v>198</v>
      </c>
      <c r="C28" s="170" t="s">
        <v>199</v>
      </c>
      <c r="D28" s="103">
        <v>330000</v>
      </c>
      <c r="E28" s="103">
        <v>330000</v>
      </c>
      <c r="F28" s="103">
        <v>405433</v>
      </c>
      <c r="G28" s="103">
        <f>F28/E28*100</f>
        <v>122.86</v>
      </c>
      <c r="H28" s="103">
        <v>50207.199999999997</v>
      </c>
      <c r="I28" s="103">
        <v>50623.9</v>
      </c>
      <c r="J28" s="103">
        <v>50623.9</v>
      </c>
      <c r="K28" s="168">
        <f>J28/I28*100</f>
        <v>100</v>
      </c>
      <c r="L28" s="3"/>
      <c r="M28" s="2"/>
    </row>
    <row r="29" spans="1:15" s="154" customFormat="1" ht="45.75">
      <c r="A29" s="171" t="s">
        <v>200</v>
      </c>
      <c r="B29" s="170" t="s">
        <v>201</v>
      </c>
      <c r="C29" s="170" t="s">
        <v>202</v>
      </c>
      <c r="D29" s="103">
        <v>1</v>
      </c>
      <c r="E29" s="103">
        <v>1</v>
      </c>
      <c r="F29" s="103">
        <v>1</v>
      </c>
      <c r="G29" s="103">
        <f t="shared" ref="G29:G47" si="5">F29/E29*100</f>
        <v>100</v>
      </c>
      <c r="H29" s="102">
        <f>24325.6-H30</f>
        <v>18812</v>
      </c>
      <c r="I29" s="102">
        <v>13405.7</v>
      </c>
      <c r="J29" s="102">
        <v>13405.7</v>
      </c>
      <c r="K29" s="168">
        <f>J29/I29*100</f>
        <v>100</v>
      </c>
      <c r="L29" s="3"/>
      <c r="M29" s="2"/>
    </row>
    <row r="30" spans="1:15" s="154" customFormat="1" ht="60.75">
      <c r="A30" s="169" t="s">
        <v>203</v>
      </c>
      <c r="B30" s="170" t="s">
        <v>204</v>
      </c>
      <c r="C30" s="170" t="s">
        <v>199</v>
      </c>
      <c r="D30" s="103">
        <v>30</v>
      </c>
      <c r="E30" s="103">
        <v>30</v>
      </c>
      <c r="F30" s="103">
        <v>30</v>
      </c>
      <c r="G30" s="103">
        <f t="shared" si="5"/>
        <v>100</v>
      </c>
      <c r="H30" s="102">
        <v>5513.6</v>
      </c>
      <c r="I30" s="102">
        <v>5513.6</v>
      </c>
      <c r="J30" s="102">
        <f>I30</f>
        <v>5513.6</v>
      </c>
      <c r="K30" s="168">
        <f t="shared" ref="K30:K33" si="6">J30/I30*100</f>
        <v>100</v>
      </c>
      <c r="L30" s="3"/>
      <c r="M30" s="2"/>
    </row>
    <row r="31" spans="1:15" s="154" customFormat="1" ht="60.75">
      <c r="A31" s="169" t="s">
        <v>205</v>
      </c>
      <c r="B31" s="170" t="s">
        <v>206</v>
      </c>
      <c r="C31" s="170" t="s">
        <v>199</v>
      </c>
      <c r="D31" s="103">
        <v>22</v>
      </c>
      <c r="E31" s="103">
        <v>22</v>
      </c>
      <c r="F31" s="103">
        <v>22</v>
      </c>
      <c r="G31" s="103">
        <f t="shared" si="5"/>
        <v>100</v>
      </c>
      <c r="H31" s="102">
        <f>I31/1.1145</f>
        <v>4658.7</v>
      </c>
      <c r="I31" s="102">
        <v>5192.1000000000004</v>
      </c>
      <c r="J31" s="102">
        <v>5192.1000000000004</v>
      </c>
      <c r="K31" s="168">
        <f t="shared" si="6"/>
        <v>100</v>
      </c>
      <c r="L31" s="3"/>
      <c r="M31" s="2"/>
    </row>
    <row r="32" spans="1:15" s="154" customFormat="1" ht="45.75">
      <c r="A32" s="169" t="s">
        <v>75</v>
      </c>
      <c r="B32" s="170" t="s">
        <v>207</v>
      </c>
      <c r="C32" s="170" t="s">
        <v>199</v>
      </c>
      <c r="D32" s="103">
        <v>1</v>
      </c>
      <c r="E32" s="103">
        <v>1</v>
      </c>
      <c r="F32" s="103">
        <v>1</v>
      </c>
      <c r="G32" s="103">
        <f t="shared" si="5"/>
        <v>100</v>
      </c>
      <c r="H32" s="102">
        <v>120</v>
      </c>
      <c r="I32" s="102">
        <v>120</v>
      </c>
      <c r="J32" s="102">
        <v>120</v>
      </c>
      <c r="K32" s="168">
        <f t="shared" si="6"/>
        <v>100</v>
      </c>
      <c r="L32" s="3"/>
      <c r="M32" s="2"/>
      <c r="N32" s="90"/>
      <c r="O32" s="41"/>
    </row>
    <row r="33" spans="1:13" s="154" customFormat="1" ht="45.75">
      <c r="A33" s="198" t="s">
        <v>40</v>
      </c>
      <c r="B33" s="170" t="s">
        <v>207</v>
      </c>
      <c r="C33" s="170" t="s">
        <v>199</v>
      </c>
      <c r="D33" s="103">
        <v>1</v>
      </c>
      <c r="E33" s="103">
        <v>1</v>
      </c>
      <c r="F33" s="103">
        <v>1</v>
      </c>
      <c r="G33" s="103">
        <f t="shared" si="5"/>
        <v>100</v>
      </c>
      <c r="H33" s="210">
        <f>I33/1.1145</f>
        <v>25906</v>
      </c>
      <c r="I33" s="210">
        <v>28872.2</v>
      </c>
      <c r="J33" s="210">
        <v>28872.2</v>
      </c>
      <c r="K33" s="212">
        <f t="shared" si="6"/>
        <v>100</v>
      </c>
      <c r="L33" s="3"/>
      <c r="M33" s="2"/>
    </row>
    <row r="34" spans="1:13" s="154" customFormat="1" ht="45.75">
      <c r="A34" s="199"/>
      <c r="B34" s="170" t="s">
        <v>208</v>
      </c>
      <c r="C34" s="170" t="s">
        <v>199</v>
      </c>
      <c r="D34" s="103">
        <v>250</v>
      </c>
      <c r="E34" s="103">
        <v>250</v>
      </c>
      <c r="F34" s="103">
        <v>250</v>
      </c>
      <c r="G34" s="103">
        <f t="shared" si="5"/>
        <v>100</v>
      </c>
      <c r="H34" s="211"/>
      <c r="I34" s="211"/>
      <c r="J34" s="211"/>
      <c r="K34" s="213"/>
      <c r="L34" s="3"/>
      <c r="M34" s="2"/>
    </row>
    <row r="35" spans="1:13" s="154" customFormat="1" ht="45.75">
      <c r="A35" s="169" t="s">
        <v>209</v>
      </c>
      <c r="B35" s="170" t="s">
        <v>210</v>
      </c>
      <c r="C35" s="170" t="s">
        <v>199</v>
      </c>
      <c r="D35" s="103">
        <v>173</v>
      </c>
      <c r="E35" s="103">
        <v>173</v>
      </c>
      <c r="F35" s="103">
        <v>183</v>
      </c>
      <c r="G35" s="103">
        <f t="shared" si="5"/>
        <v>105.78</v>
      </c>
      <c r="H35" s="104">
        <v>5672.4</v>
      </c>
      <c r="I35" s="104">
        <v>4968.5</v>
      </c>
      <c r="J35" s="104">
        <v>4968.5</v>
      </c>
      <c r="K35" s="104">
        <f>J35/I35*100</f>
        <v>100</v>
      </c>
      <c r="L35" s="3"/>
      <c r="M35" s="2"/>
    </row>
    <row r="36" spans="1:13" s="154" customFormat="1" ht="75.75">
      <c r="A36" s="198" t="s">
        <v>211</v>
      </c>
      <c r="B36" s="172" t="s">
        <v>212</v>
      </c>
      <c r="C36" s="170" t="s">
        <v>199</v>
      </c>
      <c r="D36" s="104">
        <v>16</v>
      </c>
      <c r="E36" s="104">
        <v>16</v>
      </c>
      <c r="F36" s="104">
        <v>26</v>
      </c>
      <c r="G36" s="104">
        <f t="shared" si="5"/>
        <v>162.5</v>
      </c>
      <c r="H36" s="210">
        <f>I36/1.1446</f>
        <v>6192.6</v>
      </c>
      <c r="I36" s="210">
        <v>7088.1</v>
      </c>
      <c r="J36" s="210">
        <v>6454</v>
      </c>
      <c r="K36" s="214">
        <v>100</v>
      </c>
      <c r="L36" s="3"/>
      <c r="M36" s="2"/>
    </row>
    <row r="37" spans="1:13" s="154" customFormat="1" ht="45.75">
      <c r="A37" s="199"/>
      <c r="B37" s="172" t="s">
        <v>213</v>
      </c>
      <c r="C37" s="172" t="s">
        <v>214</v>
      </c>
      <c r="D37" s="104">
        <v>179</v>
      </c>
      <c r="E37" s="104">
        <v>179</v>
      </c>
      <c r="F37" s="104">
        <v>227.77</v>
      </c>
      <c r="G37" s="104">
        <f t="shared" si="5"/>
        <v>127.25</v>
      </c>
      <c r="H37" s="211"/>
      <c r="I37" s="211"/>
      <c r="J37" s="211"/>
      <c r="K37" s="215"/>
      <c r="L37" s="3"/>
      <c r="M37" s="2"/>
    </row>
    <row r="38" spans="1:13" s="154" customFormat="1" ht="75.75">
      <c r="A38" s="173" t="s">
        <v>215</v>
      </c>
      <c r="B38" s="172" t="s">
        <v>216</v>
      </c>
      <c r="C38" s="170" t="s">
        <v>199</v>
      </c>
      <c r="D38" s="104">
        <v>412</v>
      </c>
      <c r="E38" s="104">
        <v>412</v>
      </c>
      <c r="F38" s="104">
        <v>682</v>
      </c>
      <c r="G38" s="104">
        <f t="shared" si="5"/>
        <v>165.53</v>
      </c>
      <c r="H38" s="102">
        <f>I38/1.1446</f>
        <v>1723.1</v>
      </c>
      <c r="I38" s="102">
        <v>1972.3</v>
      </c>
      <c r="J38" s="102">
        <v>1972.3</v>
      </c>
      <c r="K38" s="214">
        <v>100</v>
      </c>
      <c r="L38" s="3"/>
      <c r="M38" s="2"/>
    </row>
    <row r="39" spans="1:13" s="154" customFormat="1" ht="75.75">
      <c r="A39" s="173" t="s">
        <v>217</v>
      </c>
      <c r="B39" s="172" t="s">
        <v>216</v>
      </c>
      <c r="C39" s="170" t="s">
        <v>199</v>
      </c>
      <c r="D39" s="104">
        <v>631</v>
      </c>
      <c r="E39" s="104">
        <v>631</v>
      </c>
      <c r="F39" s="104">
        <v>666</v>
      </c>
      <c r="G39" s="104">
        <f t="shared" si="5"/>
        <v>105.55</v>
      </c>
      <c r="H39" s="102">
        <f t="shared" ref="H39:H45" si="7">I39/1.1446</f>
        <v>2105.4</v>
      </c>
      <c r="I39" s="102">
        <v>2409.8000000000002</v>
      </c>
      <c r="J39" s="102">
        <v>2409.8000000000002</v>
      </c>
      <c r="K39" s="215"/>
      <c r="L39" s="3"/>
      <c r="M39" s="2"/>
    </row>
    <row r="40" spans="1:13" s="154" customFormat="1" ht="105.75">
      <c r="A40" s="173" t="s">
        <v>218</v>
      </c>
      <c r="B40" s="172" t="s">
        <v>219</v>
      </c>
      <c r="C40" s="170" t="s">
        <v>199</v>
      </c>
      <c r="D40" s="104">
        <v>80</v>
      </c>
      <c r="E40" s="104">
        <v>80</v>
      </c>
      <c r="F40" s="104">
        <v>85</v>
      </c>
      <c r="G40" s="104">
        <f t="shared" si="5"/>
        <v>106.25</v>
      </c>
      <c r="H40" s="102">
        <f t="shared" si="7"/>
        <v>474.9</v>
      </c>
      <c r="I40" s="102">
        <v>543.6</v>
      </c>
      <c r="J40" s="102">
        <v>543.6</v>
      </c>
      <c r="K40" s="214">
        <v>100</v>
      </c>
      <c r="L40" s="3"/>
      <c r="M40" s="2"/>
    </row>
    <row r="41" spans="1:13" s="154" customFormat="1" ht="105.75">
      <c r="A41" s="173" t="s">
        <v>220</v>
      </c>
      <c r="B41" s="172" t="s">
        <v>219</v>
      </c>
      <c r="C41" s="170" t="s">
        <v>199</v>
      </c>
      <c r="D41" s="104">
        <v>110</v>
      </c>
      <c r="E41" s="104">
        <v>110</v>
      </c>
      <c r="F41" s="104">
        <v>159</v>
      </c>
      <c r="G41" s="104">
        <f t="shared" si="5"/>
        <v>144.55000000000001</v>
      </c>
      <c r="H41" s="102">
        <f t="shared" si="7"/>
        <v>545.1</v>
      </c>
      <c r="I41" s="102">
        <v>623.9</v>
      </c>
      <c r="J41" s="102">
        <v>623.9</v>
      </c>
      <c r="K41" s="215"/>
      <c r="L41" s="3"/>
      <c r="M41" s="2"/>
    </row>
    <row r="42" spans="1:13" s="154" customFormat="1" ht="60.75">
      <c r="A42" s="173" t="s">
        <v>221</v>
      </c>
      <c r="B42" s="172" t="s">
        <v>222</v>
      </c>
      <c r="C42" s="172" t="s">
        <v>223</v>
      </c>
      <c r="D42" s="104">
        <v>200</v>
      </c>
      <c r="E42" s="104">
        <v>200</v>
      </c>
      <c r="F42" s="104">
        <v>34</v>
      </c>
      <c r="G42" s="104">
        <f t="shared" si="5"/>
        <v>17</v>
      </c>
      <c r="H42" s="102">
        <f t="shared" si="7"/>
        <v>989.2</v>
      </c>
      <c r="I42" s="102">
        <v>1132.2</v>
      </c>
      <c r="J42" s="102">
        <v>956.5</v>
      </c>
      <c r="K42" s="214">
        <v>100</v>
      </c>
      <c r="L42" s="3"/>
      <c r="M42" s="2"/>
    </row>
    <row r="43" spans="1:13" s="154" customFormat="1" ht="105.75">
      <c r="A43" s="173" t="s">
        <v>224</v>
      </c>
      <c r="B43" s="172" t="s">
        <v>219</v>
      </c>
      <c r="C43" s="170" t="s">
        <v>199</v>
      </c>
      <c r="D43" s="104">
        <v>80</v>
      </c>
      <c r="E43" s="104">
        <v>80</v>
      </c>
      <c r="F43" s="104">
        <v>117</v>
      </c>
      <c r="G43" s="104">
        <f t="shared" si="5"/>
        <v>146.25</v>
      </c>
      <c r="H43" s="102">
        <f t="shared" si="7"/>
        <v>783.2</v>
      </c>
      <c r="I43" s="102">
        <v>896.5</v>
      </c>
      <c r="J43" s="102">
        <v>896.5</v>
      </c>
      <c r="K43" s="215"/>
      <c r="L43" s="3"/>
      <c r="M43" s="2"/>
    </row>
    <row r="44" spans="1:13" s="154" customFormat="1" ht="45.75">
      <c r="A44" s="173" t="s">
        <v>209</v>
      </c>
      <c r="B44" s="172" t="s">
        <v>225</v>
      </c>
      <c r="C44" s="170" t="s">
        <v>199</v>
      </c>
      <c r="D44" s="104">
        <v>0</v>
      </c>
      <c r="E44" s="104">
        <v>10</v>
      </c>
      <c r="F44" s="104">
        <v>10</v>
      </c>
      <c r="G44" s="104">
        <f t="shared" si="5"/>
        <v>100</v>
      </c>
      <c r="H44" s="102">
        <f t="shared" si="7"/>
        <v>755.4</v>
      </c>
      <c r="I44" s="102">
        <v>864.6</v>
      </c>
      <c r="J44" s="102">
        <v>550.20000000000005</v>
      </c>
      <c r="K44" s="214">
        <v>100</v>
      </c>
      <c r="L44" s="3"/>
      <c r="M44" s="2"/>
    </row>
    <row r="45" spans="1:13" s="154" customFormat="1" ht="45.75">
      <c r="A45" s="173" t="s">
        <v>73</v>
      </c>
      <c r="B45" s="172" t="s">
        <v>226</v>
      </c>
      <c r="C45" s="172" t="s">
        <v>227</v>
      </c>
      <c r="D45" s="104">
        <v>500</v>
      </c>
      <c r="E45" s="104">
        <v>500</v>
      </c>
      <c r="F45" s="104">
        <v>500</v>
      </c>
      <c r="G45" s="104">
        <f t="shared" si="5"/>
        <v>100</v>
      </c>
      <c r="H45" s="102">
        <f t="shared" si="7"/>
        <v>675.9</v>
      </c>
      <c r="I45" s="102">
        <v>773.6</v>
      </c>
      <c r="J45" s="102">
        <v>773.6</v>
      </c>
      <c r="K45" s="215"/>
      <c r="L45" s="3"/>
      <c r="M45" s="2"/>
    </row>
    <row r="46" spans="1:13" s="154" customFormat="1" ht="17.25">
      <c r="A46" s="198" t="s">
        <v>228</v>
      </c>
      <c r="B46" s="172" t="s">
        <v>163</v>
      </c>
      <c r="C46" s="170" t="s">
        <v>199</v>
      </c>
      <c r="D46" s="104">
        <v>1000</v>
      </c>
      <c r="E46" s="104">
        <v>1000</v>
      </c>
      <c r="F46" s="104">
        <v>2500</v>
      </c>
      <c r="G46" s="104">
        <f t="shared" si="5"/>
        <v>250</v>
      </c>
      <c r="H46" s="210">
        <f>I46/1.1446</f>
        <v>2511.3000000000002</v>
      </c>
      <c r="I46" s="210">
        <v>2874.4</v>
      </c>
      <c r="J46" s="210">
        <v>1341.8</v>
      </c>
      <c r="K46" s="214">
        <v>100</v>
      </c>
      <c r="L46" s="3"/>
      <c r="M46" s="2"/>
    </row>
    <row r="47" spans="1:13" s="154" customFormat="1" ht="30.75">
      <c r="A47" s="199"/>
      <c r="B47" s="172" t="s">
        <v>229</v>
      </c>
      <c r="C47" s="170" t="s">
        <v>199</v>
      </c>
      <c r="D47" s="104">
        <v>2620</v>
      </c>
      <c r="E47" s="104">
        <v>2620</v>
      </c>
      <c r="F47" s="104">
        <v>2700</v>
      </c>
      <c r="G47" s="104">
        <f t="shared" si="5"/>
        <v>103.05</v>
      </c>
      <c r="H47" s="211"/>
      <c r="I47" s="211"/>
      <c r="J47" s="211"/>
      <c r="K47" s="215"/>
      <c r="L47" s="3"/>
      <c r="M47" s="2"/>
    </row>
    <row r="48" spans="1:13" ht="41.25" customHeight="1">
      <c r="A48" s="187" t="s">
        <v>68</v>
      </c>
      <c r="B48" s="189"/>
      <c r="C48" s="59"/>
      <c r="D48" s="89"/>
      <c r="E48" s="89"/>
      <c r="F48" s="89"/>
      <c r="G48" s="79"/>
      <c r="H48" s="90">
        <f>SUM(H49:H53)</f>
        <v>285663.3</v>
      </c>
      <c r="I48" s="90">
        <f t="shared" ref="I48:J48" si="8">SUM(I49:I53)</f>
        <v>355678.5</v>
      </c>
      <c r="J48" s="90">
        <f t="shared" si="8"/>
        <v>355678.5</v>
      </c>
      <c r="K48" s="88">
        <f t="shared" si="2"/>
        <v>100</v>
      </c>
      <c r="L48" s="3"/>
      <c r="M48" s="2"/>
    </row>
    <row r="49" spans="1:25" ht="150.75">
      <c r="A49" s="60" t="s">
        <v>7</v>
      </c>
      <c r="B49" s="55" t="s">
        <v>8</v>
      </c>
      <c r="C49" s="53" t="s">
        <v>0</v>
      </c>
      <c r="D49" s="81">
        <v>1001</v>
      </c>
      <c r="E49" s="81">
        <v>1004</v>
      </c>
      <c r="F49" s="81">
        <v>1004</v>
      </c>
      <c r="G49" s="79">
        <f t="shared" si="1"/>
        <v>100</v>
      </c>
      <c r="H49" s="91">
        <v>119233.4</v>
      </c>
      <c r="I49" s="91">
        <v>154602.70000000001</v>
      </c>
      <c r="J49" s="91">
        <v>154602.70000000001</v>
      </c>
      <c r="K49" s="82">
        <v>100</v>
      </c>
      <c r="L49" s="3"/>
      <c r="M49" s="2"/>
      <c r="N49" s="20"/>
      <c r="O49" s="20"/>
      <c r="P49" s="21"/>
      <c r="Q49" s="22"/>
      <c r="R49" s="22"/>
      <c r="S49" s="22"/>
      <c r="T49" s="22"/>
      <c r="U49" s="23"/>
      <c r="V49" s="23"/>
      <c r="W49" s="23"/>
      <c r="X49" s="24"/>
      <c r="Y49" s="25"/>
    </row>
    <row r="50" spans="1:25" ht="150.75">
      <c r="A50" s="60" t="s">
        <v>9</v>
      </c>
      <c r="B50" s="55" t="s">
        <v>8</v>
      </c>
      <c r="C50" s="53" t="s">
        <v>0</v>
      </c>
      <c r="D50" s="81">
        <v>17400</v>
      </c>
      <c r="E50" s="81">
        <v>17971</v>
      </c>
      <c r="F50" s="81">
        <v>17971</v>
      </c>
      <c r="G50" s="79">
        <f t="shared" si="1"/>
        <v>100</v>
      </c>
      <c r="H50" s="91">
        <v>118526.3</v>
      </c>
      <c r="I50" s="91">
        <v>140981.1</v>
      </c>
      <c r="J50" s="91">
        <v>140981.1</v>
      </c>
      <c r="K50" s="82">
        <v>100</v>
      </c>
      <c r="L50" s="3"/>
      <c r="M50" s="2"/>
      <c r="N50" s="20"/>
      <c r="O50" s="20"/>
      <c r="P50" s="21"/>
      <c r="Q50" s="22"/>
      <c r="R50" s="22"/>
      <c r="S50" s="22"/>
      <c r="T50" s="22"/>
      <c r="U50" s="23"/>
      <c r="V50" s="23"/>
      <c r="W50" s="23"/>
      <c r="X50" s="24"/>
      <c r="Y50" s="25"/>
    </row>
    <row r="51" spans="1:25" ht="150.75">
      <c r="A51" s="60" t="s">
        <v>61</v>
      </c>
      <c r="B51" s="55" t="s">
        <v>8</v>
      </c>
      <c r="C51" s="53" t="s">
        <v>0</v>
      </c>
      <c r="D51" s="81">
        <v>1013</v>
      </c>
      <c r="E51" s="81">
        <v>1047</v>
      </c>
      <c r="F51" s="81">
        <v>1047</v>
      </c>
      <c r="G51" s="79">
        <f t="shared" si="1"/>
        <v>100</v>
      </c>
      <c r="H51" s="91">
        <v>26485</v>
      </c>
      <c r="I51" s="91">
        <v>38187.9</v>
      </c>
      <c r="J51" s="91">
        <v>38187.9</v>
      </c>
      <c r="K51" s="82">
        <v>100</v>
      </c>
      <c r="L51" s="3"/>
      <c r="M51" s="2"/>
      <c r="N51" s="20"/>
      <c r="O51" s="20"/>
      <c r="P51" s="21"/>
      <c r="Q51" s="22"/>
      <c r="R51" s="22"/>
      <c r="S51" s="22"/>
      <c r="T51" s="22"/>
      <c r="U51" s="23"/>
      <c r="V51" s="23"/>
      <c r="W51" s="23"/>
      <c r="X51" s="23"/>
      <c r="Y51" s="25"/>
    </row>
    <row r="52" spans="1:25" ht="120.75">
      <c r="A52" s="61" t="s">
        <v>28</v>
      </c>
      <c r="B52" s="55" t="s">
        <v>64</v>
      </c>
      <c r="C52" s="53" t="s">
        <v>1</v>
      </c>
      <c r="D52" s="81">
        <v>1802</v>
      </c>
      <c r="E52" s="81">
        <v>583</v>
      </c>
      <c r="F52" s="81">
        <v>583</v>
      </c>
      <c r="G52" s="79">
        <f t="shared" si="1"/>
        <v>100</v>
      </c>
      <c r="H52" s="91">
        <v>21418.6</v>
      </c>
      <c r="I52" s="91">
        <v>7087.5</v>
      </c>
      <c r="J52" s="91">
        <v>7087.5</v>
      </c>
      <c r="K52" s="82">
        <v>100</v>
      </c>
      <c r="L52" s="3"/>
      <c r="M52" s="2"/>
      <c r="N52" s="26"/>
      <c r="O52" s="26"/>
      <c r="P52" s="21"/>
      <c r="Q52" s="22"/>
      <c r="R52" s="22"/>
      <c r="S52" s="22"/>
      <c r="T52" s="22"/>
      <c r="U52" s="23"/>
      <c r="V52" s="23"/>
      <c r="W52" s="23"/>
      <c r="X52" s="24"/>
      <c r="Y52" s="25"/>
    </row>
    <row r="53" spans="1:25" ht="45">
      <c r="A53" s="62" t="s">
        <v>155</v>
      </c>
      <c r="B53" s="63" t="s">
        <v>153</v>
      </c>
      <c r="C53" s="42" t="s">
        <v>154</v>
      </c>
      <c r="D53" s="81">
        <v>0</v>
      </c>
      <c r="E53" s="81">
        <v>1219</v>
      </c>
      <c r="F53" s="81">
        <v>1219</v>
      </c>
      <c r="G53" s="79">
        <f t="shared" si="1"/>
        <v>100</v>
      </c>
      <c r="H53" s="91"/>
      <c r="I53" s="91">
        <v>14819.3</v>
      </c>
      <c r="J53" s="91">
        <v>14819.3</v>
      </c>
      <c r="K53" s="82">
        <v>100</v>
      </c>
      <c r="L53" s="3"/>
      <c r="M53" s="2"/>
      <c r="N53" s="26"/>
      <c r="O53" s="26"/>
      <c r="P53" s="21"/>
      <c r="Q53" s="22"/>
      <c r="R53" s="22"/>
      <c r="S53" s="22"/>
      <c r="T53" s="22"/>
      <c r="U53" s="23"/>
      <c r="V53" s="23"/>
      <c r="W53" s="23"/>
      <c r="X53" s="24"/>
      <c r="Y53" s="25"/>
    </row>
    <row r="54" spans="1:25" ht="31.5" customHeight="1">
      <c r="A54" s="185" t="s">
        <v>71</v>
      </c>
      <c r="B54" s="186"/>
      <c r="C54" s="64"/>
      <c r="D54" s="89"/>
      <c r="E54" s="89"/>
      <c r="F54" s="80"/>
      <c r="G54" s="79"/>
      <c r="H54" s="90">
        <f>SUM(H58:H73)</f>
        <v>149536.6</v>
      </c>
      <c r="I54" s="90">
        <f t="shared" ref="I54:J54" si="9">SUM(I58:I73)</f>
        <v>164536.6</v>
      </c>
      <c r="J54" s="90">
        <f t="shared" si="9"/>
        <v>164536.6</v>
      </c>
      <c r="K54" s="88">
        <f t="shared" si="2"/>
        <v>100</v>
      </c>
      <c r="L54" s="3"/>
      <c r="M54" s="2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</row>
    <row r="55" spans="1:25" s="154" customFormat="1" ht="31.5" customHeight="1">
      <c r="A55" s="203" t="s">
        <v>54</v>
      </c>
      <c r="B55" s="93" t="s">
        <v>241</v>
      </c>
      <c r="C55" s="93" t="s">
        <v>239</v>
      </c>
      <c r="D55" s="93">
        <v>200</v>
      </c>
      <c r="E55" s="93">
        <v>200</v>
      </c>
      <c r="F55" s="93">
        <v>200</v>
      </c>
      <c r="G55" s="93">
        <v>100</v>
      </c>
      <c r="H55" s="109">
        <v>85</v>
      </c>
      <c r="I55" s="109">
        <v>85</v>
      </c>
      <c r="J55" s="109">
        <v>85</v>
      </c>
      <c r="K55" s="184">
        <v>100</v>
      </c>
      <c r="L55" s="3"/>
      <c r="M55" s="2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</row>
    <row r="56" spans="1:25" s="154" customFormat="1" ht="31.5" customHeight="1">
      <c r="A56" s="204"/>
      <c r="B56" s="93" t="s">
        <v>242</v>
      </c>
      <c r="C56" s="93" t="s">
        <v>239</v>
      </c>
      <c r="D56" s="93">
        <v>213</v>
      </c>
      <c r="E56" s="93">
        <v>213</v>
      </c>
      <c r="F56" s="93">
        <v>213</v>
      </c>
      <c r="G56" s="93">
        <v>100</v>
      </c>
      <c r="H56" s="109">
        <v>1815</v>
      </c>
      <c r="I56" s="109">
        <v>1815</v>
      </c>
      <c r="J56" s="109">
        <v>1815</v>
      </c>
      <c r="K56" s="184">
        <v>100</v>
      </c>
      <c r="L56" s="3"/>
      <c r="M56" s="2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</row>
    <row r="57" spans="1:25" s="154" customFormat="1" ht="31.5" customHeight="1">
      <c r="A57" s="204"/>
      <c r="B57" s="93" t="s">
        <v>243</v>
      </c>
      <c r="C57" s="93" t="s">
        <v>239</v>
      </c>
      <c r="D57" s="93">
        <v>1000</v>
      </c>
      <c r="E57" s="93">
        <v>1000</v>
      </c>
      <c r="F57" s="93">
        <v>1000</v>
      </c>
      <c r="G57" s="93">
        <v>100</v>
      </c>
      <c r="H57" s="109">
        <v>1809</v>
      </c>
      <c r="I57" s="109">
        <v>1809</v>
      </c>
      <c r="J57" s="109">
        <v>1809</v>
      </c>
      <c r="K57" s="184">
        <v>100</v>
      </c>
      <c r="L57" s="3"/>
      <c r="M57" s="2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</row>
    <row r="58" spans="1:25" ht="60.75">
      <c r="A58" s="204"/>
      <c r="B58" s="93" t="s">
        <v>244</v>
      </c>
      <c r="C58" s="93" t="s">
        <v>239</v>
      </c>
      <c r="D58" s="93">
        <v>150</v>
      </c>
      <c r="E58" s="93">
        <v>150</v>
      </c>
      <c r="F58" s="93">
        <v>150</v>
      </c>
      <c r="G58" s="93">
        <v>100</v>
      </c>
      <c r="H58" s="109">
        <v>82</v>
      </c>
      <c r="I58" s="109">
        <v>82</v>
      </c>
      <c r="J58" s="109">
        <v>82</v>
      </c>
      <c r="K58" s="184">
        <v>100</v>
      </c>
      <c r="L58" s="3"/>
      <c r="M58" s="2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</row>
    <row r="59" spans="1:25" ht="17.25">
      <c r="A59" s="205"/>
      <c r="B59" s="93" t="s">
        <v>253</v>
      </c>
      <c r="C59" s="93" t="s">
        <v>239</v>
      </c>
      <c r="D59" s="93">
        <v>200</v>
      </c>
      <c r="E59" s="93">
        <v>200</v>
      </c>
      <c r="F59" s="93">
        <v>200</v>
      </c>
      <c r="G59" s="93">
        <v>100</v>
      </c>
      <c r="H59" s="109">
        <v>1228</v>
      </c>
      <c r="I59" s="109">
        <v>1228</v>
      </c>
      <c r="J59" s="109">
        <v>1228</v>
      </c>
      <c r="K59" s="184">
        <v>100</v>
      </c>
      <c r="L59" s="3"/>
      <c r="M59" s="2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</row>
    <row r="60" spans="1:25" ht="17.25">
      <c r="A60" s="200" t="s">
        <v>55</v>
      </c>
      <c r="B60" s="93" t="s">
        <v>248</v>
      </c>
      <c r="C60" s="93" t="s">
        <v>246</v>
      </c>
      <c r="D60" s="93">
        <v>213</v>
      </c>
      <c r="E60" s="93">
        <v>213</v>
      </c>
      <c r="F60" s="93">
        <v>213</v>
      </c>
      <c r="G60" s="93">
        <v>100</v>
      </c>
      <c r="H60" s="68">
        <v>813.37</v>
      </c>
      <c r="I60" s="93">
        <v>813.37</v>
      </c>
      <c r="J60" s="93">
        <v>813.37</v>
      </c>
      <c r="K60" s="184">
        <v>100</v>
      </c>
      <c r="L60" s="3"/>
      <c r="M60" s="2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</row>
    <row r="61" spans="1:25" s="154" customFormat="1" ht="17.25">
      <c r="A61" s="201"/>
      <c r="B61" s="93" t="s">
        <v>249</v>
      </c>
      <c r="C61" s="93" t="s">
        <v>239</v>
      </c>
      <c r="D61" s="93">
        <v>12.3</v>
      </c>
      <c r="E61" s="93">
        <v>12.3</v>
      </c>
      <c r="F61" s="93">
        <v>12.3</v>
      </c>
      <c r="G61" s="93">
        <v>100</v>
      </c>
      <c r="H61" s="93">
        <v>383</v>
      </c>
      <c r="I61" s="93">
        <v>383</v>
      </c>
      <c r="J61" s="93">
        <v>383</v>
      </c>
      <c r="K61" s="184">
        <v>100</v>
      </c>
      <c r="L61" s="3"/>
      <c r="M61" s="2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</row>
    <row r="62" spans="1:25" s="154" customFormat="1" ht="30.75">
      <c r="A62" s="201"/>
      <c r="B62" s="93" t="s">
        <v>250</v>
      </c>
      <c r="C62" s="93" t="s">
        <v>239</v>
      </c>
      <c r="D62" s="93">
        <v>45.2</v>
      </c>
      <c r="E62" s="93">
        <v>45.2</v>
      </c>
      <c r="F62" s="93">
        <v>45.2</v>
      </c>
      <c r="G62" s="93">
        <v>100</v>
      </c>
      <c r="H62" s="93">
        <v>1017</v>
      </c>
      <c r="I62" s="93">
        <v>1017</v>
      </c>
      <c r="J62" s="93">
        <v>1017</v>
      </c>
      <c r="K62" s="184">
        <v>100</v>
      </c>
      <c r="L62" s="3"/>
      <c r="M62" s="2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</row>
    <row r="63" spans="1:25" s="154" customFormat="1" ht="30.75">
      <c r="A63" s="202"/>
      <c r="B63" s="93" t="s">
        <v>251</v>
      </c>
      <c r="C63" s="93" t="s">
        <v>239</v>
      </c>
      <c r="D63" s="93">
        <v>10</v>
      </c>
      <c r="E63" s="93">
        <v>10</v>
      </c>
      <c r="F63" s="93">
        <v>10</v>
      </c>
      <c r="G63" s="93">
        <v>100</v>
      </c>
      <c r="H63" s="93">
        <v>76</v>
      </c>
      <c r="I63" s="93">
        <v>76</v>
      </c>
      <c r="J63" s="93">
        <v>76</v>
      </c>
      <c r="K63" s="184">
        <v>100</v>
      </c>
      <c r="L63" s="3"/>
      <c r="M63" s="2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</row>
    <row r="64" spans="1:25" ht="60.75">
      <c r="A64" s="195" t="s">
        <v>51</v>
      </c>
      <c r="B64" s="93" t="s">
        <v>232</v>
      </c>
      <c r="C64" s="53" t="s">
        <v>52</v>
      </c>
      <c r="D64" s="80">
        <v>50</v>
      </c>
      <c r="E64" s="80">
        <v>50</v>
      </c>
      <c r="F64" s="80">
        <v>50</v>
      </c>
      <c r="G64" s="79">
        <f t="shared" si="1"/>
        <v>100</v>
      </c>
      <c r="H64" s="91">
        <v>856.7</v>
      </c>
      <c r="I64" s="91">
        <v>856.7</v>
      </c>
      <c r="J64" s="91">
        <v>856.7</v>
      </c>
      <c r="K64" s="101">
        <f t="shared" si="2"/>
        <v>100</v>
      </c>
      <c r="L64" s="3"/>
      <c r="M64" s="2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</row>
    <row r="65" spans="1:25" ht="90.75">
      <c r="A65" s="196"/>
      <c r="B65" s="93" t="s">
        <v>234</v>
      </c>
      <c r="C65" s="181" t="s">
        <v>235</v>
      </c>
      <c r="D65" s="181">
        <v>10000</v>
      </c>
      <c r="E65" s="181">
        <v>10000</v>
      </c>
      <c r="F65" s="181">
        <v>10000</v>
      </c>
      <c r="G65" s="79">
        <f t="shared" si="1"/>
        <v>100</v>
      </c>
      <c r="H65" s="181">
        <v>9.4</v>
      </c>
      <c r="I65" s="181">
        <v>9.4</v>
      </c>
      <c r="J65" s="181">
        <v>9.4</v>
      </c>
      <c r="K65" s="101">
        <f t="shared" si="2"/>
        <v>100</v>
      </c>
      <c r="L65" s="3"/>
      <c r="M65" s="2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</row>
    <row r="66" spans="1:25" s="154" customFormat="1" ht="45.75">
      <c r="A66" s="196"/>
      <c r="B66" s="93" t="s">
        <v>236</v>
      </c>
      <c r="C66" s="181" t="s">
        <v>233</v>
      </c>
      <c r="D66" s="181">
        <v>37</v>
      </c>
      <c r="E66" s="181">
        <v>37</v>
      </c>
      <c r="F66" s="181">
        <v>37</v>
      </c>
      <c r="G66" s="79">
        <f t="shared" si="1"/>
        <v>100</v>
      </c>
      <c r="H66" s="181">
        <v>21.36</v>
      </c>
      <c r="I66" s="181">
        <v>21.36</v>
      </c>
      <c r="J66" s="181">
        <v>21.36</v>
      </c>
      <c r="K66" s="101">
        <f t="shared" si="2"/>
        <v>100</v>
      </c>
      <c r="L66" s="3"/>
      <c r="M66" s="2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</row>
    <row r="67" spans="1:25" s="154" customFormat="1" ht="45.75">
      <c r="A67" s="196"/>
      <c r="B67" s="93" t="s">
        <v>237</v>
      </c>
      <c r="C67" s="181" t="s">
        <v>233</v>
      </c>
      <c r="D67" s="181">
        <v>37</v>
      </c>
      <c r="E67" s="181">
        <v>37</v>
      </c>
      <c r="F67" s="181">
        <v>37</v>
      </c>
      <c r="G67" s="79">
        <f t="shared" si="1"/>
        <v>100</v>
      </c>
      <c r="H67" s="181">
        <v>18.7</v>
      </c>
      <c r="I67" s="181">
        <v>18.7</v>
      </c>
      <c r="J67" s="181">
        <v>18.7</v>
      </c>
      <c r="K67" s="101">
        <f t="shared" si="2"/>
        <v>100</v>
      </c>
      <c r="L67" s="3"/>
      <c r="M67" s="2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</row>
    <row r="68" spans="1:25" ht="60.75">
      <c r="A68" s="197"/>
      <c r="B68" s="93" t="s">
        <v>238</v>
      </c>
      <c r="C68" s="181" t="s">
        <v>239</v>
      </c>
      <c r="D68" s="181">
        <v>1103563.7</v>
      </c>
      <c r="E68" s="181">
        <v>1103563.7</v>
      </c>
      <c r="F68" s="181">
        <v>1103563.7</v>
      </c>
      <c r="G68" s="79">
        <f t="shared" si="1"/>
        <v>100</v>
      </c>
      <c r="H68" s="181">
        <f>109291.4+3973.8</f>
        <v>113265.2</v>
      </c>
      <c r="I68" s="181">
        <f t="shared" ref="I68:J68" si="10">109291.4+3973.8</f>
        <v>113265.2</v>
      </c>
      <c r="J68" s="181">
        <f t="shared" si="10"/>
        <v>113265.2</v>
      </c>
      <c r="K68" s="101">
        <f t="shared" si="2"/>
        <v>100</v>
      </c>
      <c r="L68" s="3"/>
      <c r="M68" s="2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</row>
    <row r="69" spans="1:25" ht="30.75">
      <c r="A69" s="66" t="s">
        <v>53</v>
      </c>
      <c r="B69" s="181" t="s">
        <v>240</v>
      </c>
      <c r="C69" s="181" t="s">
        <v>239</v>
      </c>
      <c r="D69" s="181">
        <v>594.1</v>
      </c>
      <c r="E69" s="181">
        <v>594.1</v>
      </c>
      <c r="F69" s="181">
        <v>594.1</v>
      </c>
      <c r="G69" s="181">
        <v>100</v>
      </c>
      <c r="H69" s="183">
        <v>24869.8</v>
      </c>
      <c r="I69" s="183">
        <v>24869.8</v>
      </c>
      <c r="J69" s="183">
        <v>24869.8</v>
      </c>
      <c r="K69" s="182">
        <v>100</v>
      </c>
      <c r="L69" s="3"/>
      <c r="M69" s="2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</row>
    <row r="70" spans="1:25" s="154" customFormat="1" ht="30.75">
      <c r="A70" s="206" t="s">
        <v>56</v>
      </c>
      <c r="B70" s="181" t="s">
        <v>245</v>
      </c>
      <c r="C70" s="181" t="s">
        <v>246</v>
      </c>
      <c r="D70" s="181">
        <v>300</v>
      </c>
      <c r="E70" s="181">
        <v>300</v>
      </c>
      <c r="F70" s="181">
        <v>300</v>
      </c>
      <c r="G70" s="181">
        <v>100</v>
      </c>
      <c r="H70" s="181">
        <v>300</v>
      </c>
      <c r="I70" s="181">
        <v>300</v>
      </c>
      <c r="J70" s="181">
        <v>300</v>
      </c>
      <c r="K70" s="182">
        <v>100</v>
      </c>
      <c r="L70" s="3"/>
      <c r="M70" s="2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</row>
    <row r="71" spans="1:25" ht="60.75">
      <c r="A71" s="207"/>
      <c r="B71" s="181" t="s">
        <v>247</v>
      </c>
      <c r="C71" s="181" t="s">
        <v>239</v>
      </c>
      <c r="D71" s="181">
        <v>2015.1</v>
      </c>
      <c r="E71" s="181">
        <v>2015.1</v>
      </c>
      <c r="F71" s="181">
        <v>2015.1</v>
      </c>
      <c r="G71" s="181">
        <v>100</v>
      </c>
      <c r="H71" s="181"/>
      <c r="I71" s="181">
        <v>15000</v>
      </c>
      <c r="J71" s="181">
        <v>15000</v>
      </c>
      <c r="K71" s="182">
        <v>100</v>
      </c>
      <c r="L71" s="3"/>
      <c r="M71" s="2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</row>
    <row r="72" spans="1:25" ht="30.75">
      <c r="A72" s="65" t="s">
        <v>44</v>
      </c>
      <c r="B72" s="52" t="s">
        <v>77</v>
      </c>
      <c r="C72" s="53" t="s">
        <v>78</v>
      </c>
      <c r="D72" s="80">
        <v>12</v>
      </c>
      <c r="E72" s="80">
        <v>12</v>
      </c>
      <c r="F72" s="80">
        <v>12</v>
      </c>
      <c r="G72" s="79">
        <f t="shared" si="1"/>
        <v>100</v>
      </c>
      <c r="H72" s="91">
        <v>5183.5</v>
      </c>
      <c r="I72" s="91">
        <v>5183.5</v>
      </c>
      <c r="J72" s="91">
        <v>5183.5</v>
      </c>
      <c r="K72" s="82">
        <f t="shared" si="2"/>
        <v>100</v>
      </c>
      <c r="L72" s="3"/>
      <c r="M72" s="2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</row>
    <row r="73" spans="1:25" ht="90.75">
      <c r="A73" s="61" t="s">
        <v>45</v>
      </c>
      <c r="B73" s="52" t="s">
        <v>252</v>
      </c>
      <c r="C73" s="53" t="s">
        <v>1</v>
      </c>
      <c r="D73" s="80">
        <v>83</v>
      </c>
      <c r="E73" s="80">
        <v>83</v>
      </c>
      <c r="F73" s="80">
        <v>83</v>
      </c>
      <c r="G73" s="79">
        <f t="shared" si="1"/>
        <v>100</v>
      </c>
      <c r="H73" s="91">
        <v>1412.6</v>
      </c>
      <c r="I73" s="91">
        <v>1412.6</v>
      </c>
      <c r="J73" s="91">
        <v>1412.6</v>
      </c>
      <c r="K73" s="82">
        <f t="shared" si="2"/>
        <v>100</v>
      </c>
      <c r="L73" s="3"/>
      <c r="M73" s="2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</row>
    <row r="74" spans="1:25" ht="17.25">
      <c r="A74" s="187" t="s">
        <v>65</v>
      </c>
      <c r="B74" s="188"/>
      <c r="C74" s="67"/>
      <c r="D74" s="80"/>
      <c r="E74" s="80"/>
      <c r="F74" s="80"/>
      <c r="G74" s="79"/>
      <c r="H74" s="90">
        <f>SUM(H75:H99)</f>
        <v>442929</v>
      </c>
      <c r="I74" s="90">
        <f t="shared" ref="I74:J74" si="11">SUM(I75:I99)</f>
        <v>510606.6</v>
      </c>
      <c r="J74" s="90">
        <f t="shared" si="11"/>
        <v>509852.6</v>
      </c>
      <c r="K74" s="82">
        <f t="shared" si="2"/>
        <v>99.9</v>
      </c>
      <c r="L74" s="3"/>
      <c r="M74" s="2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</row>
    <row r="75" spans="1:25" ht="30">
      <c r="A75" s="134" t="s">
        <v>84</v>
      </c>
      <c r="B75" s="47" t="s">
        <v>85</v>
      </c>
      <c r="C75" s="47" t="s">
        <v>0</v>
      </c>
      <c r="D75" s="92">
        <v>342</v>
      </c>
      <c r="E75" s="92">
        <v>363</v>
      </c>
      <c r="F75" s="92">
        <v>359</v>
      </c>
      <c r="G75" s="79">
        <f t="shared" si="1"/>
        <v>98.9</v>
      </c>
      <c r="H75" s="110">
        <v>25814.6</v>
      </c>
      <c r="I75" s="110">
        <v>24811.1</v>
      </c>
      <c r="J75" s="110">
        <v>24811.1</v>
      </c>
      <c r="K75" s="82">
        <f t="shared" si="2"/>
        <v>100</v>
      </c>
      <c r="L75" s="3"/>
      <c r="M75" s="2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</row>
    <row r="76" spans="1:25" ht="30">
      <c r="A76" s="134" t="s">
        <v>86</v>
      </c>
      <c r="B76" s="47" t="s">
        <v>85</v>
      </c>
      <c r="C76" s="47" t="s">
        <v>0</v>
      </c>
      <c r="D76" s="92">
        <v>593</v>
      </c>
      <c r="E76" s="92">
        <v>600</v>
      </c>
      <c r="F76" s="92">
        <v>594</v>
      </c>
      <c r="G76" s="79">
        <f t="shared" si="1"/>
        <v>99</v>
      </c>
      <c r="H76" s="110">
        <v>25885.9</v>
      </c>
      <c r="I76" s="110">
        <v>25856</v>
      </c>
      <c r="J76" s="110">
        <v>25856</v>
      </c>
      <c r="K76" s="82">
        <f t="shared" si="2"/>
        <v>100</v>
      </c>
      <c r="L76" s="3"/>
      <c r="M76" s="2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</row>
    <row r="77" spans="1:25" ht="30">
      <c r="A77" s="134" t="s">
        <v>87</v>
      </c>
      <c r="B77" s="47" t="s">
        <v>88</v>
      </c>
      <c r="C77" s="47" t="s">
        <v>89</v>
      </c>
      <c r="D77" s="92">
        <v>452768</v>
      </c>
      <c r="E77" s="92">
        <v>452768</v>
      </c>
      <c r="F77" s="92">
        <v>452768</v>
      </c>
      <c r="G77" s="79">
        <f t="shared" si="1"/>
        <v>100</v>
      </c>
      <c r="H77" s="110">
        <v>14939.1</v>
      </c>
      <c r="I77" s="110">
        <v>17046.3</v>
      </c>
      <c r="J77" s="110">
        <v>17046.3</v>
      </c>
      <c r="K77" s="82">
        <f t="shared" si="2"/>
        <v>100</v>
      </c>
      <c r="L77" s="3"/>
      <c r="M77" s="2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</row>
    <row r="78" spans="1:25" ht="17.25">
      <c r="A78" s="134" t="s">
        <v>90</v>
      </c>
      <c r="B78" s="47" t="s">
        <v>85</v>
      </c>
      <c r="C78" s="47" t="s">
        <v>0</v>
      </c>
      <c r="D78" s="92">
        <v>295</v>
      </c>
      <c r="E78" s="92">
        <v>288</v>
      </c>
      <c r="F78" s="92">
        <v>279</v>
      </c>
      <c r="G78" s="79">
        <f t="shared" si="1"/>
        <v>96.9</v>
      </c>
      <c r="H78" s="110">
        <v>7683</v>
      </c>
      <c r="I78" s="110">
        <v>20403.400000000001</v>
      </c>
      <c r="J78" s="110">
        <v>20403.400000000001</v>
      </c>
      <c r="K78" s="82">
        <f t="shared" si="2"/>
        <v>100</v>
      </c>
      <c r="L78" s="3"/>
      <c r="M78" s="2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</row>
    <row r="79" spans="1:25" ht="17.25">
      <c r="A79" s="134" t="s">
        <v>157</v>
      </c>
      <c r="B79" s="47" t="s">
        <v>85</v>
      </c>
      <c r="C79" s="47" t="s">
        <v>0</v>
      </c>
      <c r="D79" s="92">
        <v>830</v>
      </c>
      <c r="E79" s="92">
        <v>840</v>
      </c>
      <c r="F79" s="92">
        <v>837</v>
      </c>
      <c r="G79" s="79">
        <f t="shared" si="1"/>
        <v>99.6</v>
      </c>
      <c r="H79" s="110">
        <v>14316.5</v>
      </c>
      <c r="I79" s="110">
        <v>12483.9</v>
      </c>
      <c r="J79" s="110">
        <v>12483.9</v>
      </c>
      <c r="K79" s="82">
        <f t="shared" si="2"/>
        <v>100</v>
      </c>
      <c r="L79" s="3"/>
      <c r="M79" s="2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</row>
    <row r="80" spans="1:25" ht="30">
      <c r="A80" s="134" t="s">
        <v>91</v>
      </c>
      <c r="B80" s="47" t="s">
        <v>88</v>
      </c>
      <c r="C80" s="47" t="s">
        <v>89</v>
      </c>
      <c r="D80" s="92">
        <f>107928+42120</f>
        <v>150048</v>
      </c>
      <c r="E80" s="92">
        <f>125881+42120</f>
        <v>168001</v>
      </c>
      <c r="F80" s="92">
        <f>125939+42120</f>
        <v>168059</v>
      </c>
      <c r="G80" s="79">
        <f t="shared" si="1"/>
        <v>100</v>
      </c>
      <c r="H80" s="111">
        <f>8098.4+8848.9-3096.6</f>
        <v>13850.7</v>
      </c>
      <c r="I80" s="111">
        <f>14627.5+7815.3</f>
        <v>22442.799999999999</v>
      </c>
      <c r="J80" s="111">
        <v>22442.799999999999</v>
      </c>
      <c r="K80" s="82">
        <f t="shared" si="2"/>
        <v>100</v>
      </c>
      <c r="L80" s="3"/>
      <c r="M80" s="2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</row>
    <row r="81" spans="1:34" ht="60">
      <c r="A81" s="134" t="s">
        <v>92</v>
      </c>
      <c r="B81" s="47" t="s">
        <v>93</v>
      </c>
      <c r="C81" s="47" t="s">
        <v>94</v>
      </c>
      <c r="D81" s="92">
        <v>18</v>
      </c>
      <c r="E81" s="92">
        <v>18</v>
      </c>
      <c r="F81" s="92">
        <v>18</v>
      </c>
      <c r="G81" s="79">
        <f t="shared" si="1"/>
        <v>100</v>
      </c>
      <c r="H81" s="111">
        <v>1533</v>
      </c>
      <c r="I81" s="111">
        <v>1533</v>
      </c>
      <c r="J81" s="111">
        <v>1533</v>
      </c>
      <c r="K81" s="82">
        <f t="shared" si="2"/>
        <v>100</v>
      </c>
      <c r="L81" s="3"/>
      <c r="M81" s="2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</row>
    <row r="82" spans="1:34" ht="45">
      <c r="A82" s="134" t="s">
        <v>95</v>
      </c>
      <c r="B82" s="47" t="s">
        <v>96</v>
      </c>
      <c r="C82" s="47" t="s">
        <v>32</v>
      </c>
      <c r="D82" s="92">
        <v>2</v>
      </c>
      <c r="E82" s="92">
        <v>2</v>
      </c>
      <c r="F82" s="92">
        <v>2</v>
      </c>
      <c r="G82" s="79">
        <f t="shared" si="1"/>
        <v>100</v>
      </c>
      <c r="H82" s="111">
        <v>4790.8</v>
      </c>
      <c r="I82" s="111">
        <v>4790.8</v>
      </c>
      <c r="J82" s="111">
        <v>4790.8</v>
      </c>
      <c r="K82" s="82">
        <f t="shared" si="2"/>
        <v>100</v>
      </c>
      <c r="L82" s="3"/>
      <c r="M82" s="2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</row>
    <row r="83" spans="1:34" ht="17.25">
      <c r="A83" s="134" t="s">
        <v>97</v>
      </c>
      <c r="B83" s="47" t="s">
        <v>98</v>
      </c>
      <c r="C83" s="47" t="s">
        <v>94</v>
      </c>
      <c r="D83" s="92">
        <v>63</v>
      </c>
      <c r="E83" s="92">
        <v>63</v>
      </c>
      <c r="F83" s="92">
        <v>63</v>
      </c>
      <c r="G83" s="79">
        <f t="shared" si="1"/>
        <v>100</v>
      </c>
      <c r="H83" s="111">
        <v>1077.8</v>
      </c>
      <c r="I83" s="111">
        <v>1077.8</v>
      </c>
      <c r="J83" s="111">
        <v>1077.8</v>
      </c>
      <c r="K83" s="82">
        <f t="shared" si="2"/>
        <v>100</v>
      </c>
      <c r="L83" s="3"/>
      <c r="M83" s="2"/>
    </row>
    <row r="84" spans="1:34" ht="45">
      <c r="A84" s="134" t="s">
        <v>99</v>
      </c>
      <c r="B84" s="47" t="s">
        <v>100</v>
      </c>
      <c r="C84" s="47" t="s">
        <v>0</v>
      </c>
      <c r="D84" s="92">
        <v>700</v>
      </c>
      <c r="E84" s="92">
        <v>700</v>
      </c>
      <c r="F84" s="92">
        <v>700</v>
      </c>
      <c r="G84" s="79">
        <f t="shared" si="1"/>
        <v>100</v>
      </c>
      <c r="H84" s="111">
        <v>3096.6</v>
      </c>
      <c r="I84" s="111">
        <v>3096.6</v>
      </c>
      <c r="J84" s="111">
        <v>3096.6</v>
      </c>
      <c r="K84" s="82">
        <f t="shared" si="2"/>
        <v>100</v>
      </c>
      <c r="L84" s="3"/>
      <c r="M84" s="2"/>
    </row>
    <row r="85" spans="1:34" ht="30">
      <c r="A85" s="135" t="s">
        <v>87</v>
      </c>
      <c r="B85" s="48" t="s">
        <v>101</v>
      </c>
      <c r="C85" s="48" t="s">
        <v>102</v>
      </c>
      <c r="D85" s="93">
        <v>19146</v>
      </c>
      <c r="E85" s="93">
        <f>3000+16146</f>
        <v>19146</v>
      </c>
      <c r="F85" s="93">
        <f>3000+16146</f>
        <v>19146</v>
      </c>
      <c r="G85" s="79">
        <f t="shared" si="1"/>
        <v>100</v>
      </c>
      <c r="H85" s="112">
        <f>2593.5+3750.5-934</f>
        <v>5410</v>
      </c>
      <c r="I85" s="112">
        <f>2593.5+3750.5</f>
        <v>6344</v>
      </c>
      <c r="J85" s="112">
        <f>2593.5+3750.5</f>
        <v>6344</v>
      </c>
      <c r="K85" s="82">
        <f t="shared" si="2"/>
        <v>100</v>
      </c>
      <c r="L85" s="3"/>
      <c r="M85" s="2"/>
    </row>
    <row r="86" spans="1:34" ht="105">
      <c r="A86" s="135" t="s">
        <v>103</v>
      </c>
      <c r="B86" s="48" t="s">
        <v>104</v>
      </c>
      <c r="C86" s="48" t="s">
        <v>0</v>
      </c>
      <c r="D86" s="93">
        <v>2045</v>
      </c>
      <c r="E86" s="93">
        <v>2045</v>
      </c>
      <c r="F86" s="93">
        <v>2045</v>
      </c>
      <c r="G86" s="79">
        <f t="shared" si="1"/>
        <v>100</v>
      </c>
      <c r="H86" s="112">
        <f>2985-194.85</f>
        <v>2790.2</v>
      </c>
      <c r="I86" s="112">
        <v>2985</v>
      </c>
      <c r="J86" s="112">
        <v>2985</v>
      </c>
      <c r="K86" s="82">
        <f t="shared" si="2"/>
        <v>100</v>
      </c>
      <c r="L86" s="3"/>
      <c r="M86" s="2"/>
    </row>
    <row r="87" spans="1:34" ht="45">
      <c r="A87" s="135" t="s">
        <v>105</v>
      </c>
      <c r="B87" s="48" t="s">
        <v>106</v>
      </c>
      <c r="C87" s="48" t="s">
        <v>0</v>
      </c>
      <c r="D87" s="93">
        <v>1015</v>
      </c>
      <c r="E87" s="93">
        <v>1015</v>
      </c>
      <c r="F87" s="93">
        <v>1015</v>
      </c>
      <c r="G87" s="79">
        <f t="shared" si="1"/>
        <v>100</v>
      </c>
      <c r="H87" s="112">
        <f>2702.5-194.85</f>
        <v>2507.6999999999998</v>
      </c>
      <c r="I87" s="112">
        <v>2702.5</v>
      </c>
      <c r="J87" s="112">
        <v>2702.5</v>
      </c>
      <c r="K87" s="82">
        <f t="shared" si="2"/>
        <v>100</v>
      </c>
      <c r="L87" s="3"/>
      <c r="M87" s="2"/>
    </row>
    <row r="88" spans="1:34" ht="75">
      <c r="A88" s="135" t="s">
        <v>107</v>
      </c>
      <c r="B88" s="48" t="s">
        <v>108</v>
      </c>
      <c r="C88" s="48" t="s">
        <v>18</v>
      </c>
      <c r="D88" s="93">
        <v>350</v>
      </c>
      <c r="E88" s="93">
        <v>350</v>
      </c>
      <c r="F88" s="93">
        <v>350</v>
      </c>
      <c r="G88" s="79">
        <f t="shared" si="1"/>
        <v>100</v>
      </c>
      <c r="H88" s="112">
        <v>205</v>
      </c>
      <c r="I88" s="112">
        <v>205</v>
      </c>
      <c r="J88" s="112">
        <v>205</v>
      </c>
      <c r="K88" s="82">
        <f t="shared" si="2"/>
        <v>100</v>
      </c>
      <c r="L88" s="3"/>
      <c r="M88" s="2"/>
    </row>
    <row r="89" spans="1:34" ht="60.75">
      <c r="A89" s="136" t="s">
        <v>109</v>
      </c>
      <c r="B89" s="48" t="s">
        <v>110</v>
      </c>
      <c r="C89" s="48" t="s">
        <v>18</v>
      </c>
      <c r="D89" s="93">
        <v>9006</v>
      </c>
      <c r="E89" s="93">
        <v>9006</v>
      </c>
      <c r="F89" s="93">
        <v>9006</v>
      </c>
      <c r="G89" s="79">
        <f t="shared" ref="G89:G147" si="12">F89/E89*100</f>
        <v>100</v>
      </c>
      <c r="H89" s="112">
        <v>16250</v>
      </c>
      <c r="I89" s="112">
        <v>13767.5</v>
      </c>
      <c r="J89" s="112">
        <v>13767.5</v>
      </c>
      <c r="K89" s="82">
        <f t="shared" si="2"/>
        <v>100</v>
      </c>
      <c r="L89" s="3" t="s">
        <v>158</v>
      </c>
      <c r="M89" s="2"/>
      <c r="T89" t="s">
        <v>156</v>
      </c>
    </row>
    <row r="90" spans="1:34" ht="30">
      <c r="A90" s="137" t="s">
        <v>111</v>
      </c>
      <c r="B90" s="48" t="s">
        <v>101</v>
      </c>
      <c r="C90" s="48" t="s">
        <v>112</v>
      </c>
      <c r="D90" s="93">
        <f>L90+T90</f>
        <v>171963</v>
      </c>
      <c r="E90" s="93">
        <f t="shared" ref="E90:F90" si="13">M90+U90</f>
        <v>171963</v>
      </c>
      <c r="F90" s="93">
        <f t="shared" si="13"/>
        <v>173763</v>
      </c>
      <c r="G90" s="79">
        <f t="shared" si="12"/>
        <v>101</v>
      </c>
      <c r="H90" s="109">
        <f t="shared" ref="H90" si="14">P90+X90</f>
        <v>11457.6</v>
      </c>
      <c r="I90" s="109">
        <f t="shared" ref="I90" si="15">Q90+Y90</f>
        <v>13499.8</v>
      </c>
      <c r="J90" s="109">
        <f t="shared" ref="J90" si="16">R90+Z90</f>
        <v>13499.8</v>
      </c>
      <c r="K90" s="82">
        <f t="shared" si="2"/>
        <v>100</v>
      </c>
      <c r="L90" s="122">
        <f>3264+44139+7920</f>
        <v>55323</v>
      </c>
      <c r="M90" s="9">
        <f>3264+44139+7920</f>
        <v>55323</v>
      </c>
      <c r="N90" s="9">
        <f>3264+44139+7920</f>
        <v>55323</v>
      </c>
      <c r="O90" s="9">
        <v>100</v>
      </c>
      <c r="P90" s="10">
        <f>2442+3788+946-905-1466</f>
        <v>4805</v>
      </c>
      <c r="Q90" s="10">
        <f>2442+3788+946</f>
        <v>7176</v>
      </c>
      <c r="R90" s="10">
        <v>7176</v>
      </c>
      <c r="S90" s="8">
        <f t="shared" ref="S90" si="17">Q90/R90*100</f>
        <v>100</v>
      </c>
      <c r="T90" s="16">
        <v>116640</v>
      </c>
      <c r="U90" s="16">
        <v>116640</v>
      </c>
      <c r="V90" s="16">
        <v>118440</v>
      </c>
      <c r="W90" s="17">
        <f t="shared" ref="W90" si="18">V90/U90*100</f>
        <v>101.5</v>
      </c>
      <c r="X90" s="18">
        <v>6652.6</v>
      </c>
      <c r="Y90" s="18">
        <f>6323.8</f>
        <v>6323.8</v>
      </c>
      <c r="Z90" s="18">
        <f>6323.8</f>
        <v>6323.8</v>
      </c>
      <c r="AA90" s="15">
        <f>Z90/Y90*100</f>
        <v>100</v>
      </c>
    </row>
    <row r="91" spans="1:34" ht="45">
      <c r="A91" s="135" t="s">
        <v>113</v>
      </c>
      <c r="B91" s="48" t="s">
        <v>114</v>
      </c>
      <c r="C91" s="48" t="s">
        <v>18</v>
      </c>
      <c r="D91" s="93">
        <v>6</v>
      </c>
      <c r="E91" s="93">
        <v>6</v>
      </c>
      <c r="F91" s="93">
        <v>6</v>
      </c>
      <c r="G91" s="79">
        <f t="shared" si="12"/>
        <v>100</v>
      </c>
      <c r="H91" s="112">
        <f>4774-905</f>
        <v>3869</v>
      </c>
      <c r="I91" s="112">
        <f>4774</f>
        <v>4774</v>
      </c>
      <c r="J91" s="112">
        <v>4774</v>
      </c>
      <c r="K91" s="82">
        <f t="shared" si="2"/>
        <v>100</v>
      </c>
      <c r="L91" s="3"/>
      <c r="M91" s="2"/>
    </row>
    <row r="92" spans="1:34" ht="75">
      <c r="A92" s="135" t="s">
        <v>115</v>
      </c>
      <c r="B92" s="48" t="s">
        <v>116</v>
      </c>
      <c r="C92" s="48" t="s">
        <v>18</v>
      </c>
      <c r="D92" s="93">
        <v>4</v>
      </c>
      <c r="E92" s="93">
        <v>4</v>
      </c>
      <c r="F92" s="93">
        <v>4</v>
      </c>
      <c r="G92" s="79">
        <f t="shared" si="12"/>
        <v>100</v>
      </c>
      <c r="H92" s="112">
        <f>3529-905</f>
        <v>2624</v>
      </c>
      <c r="I92" s="112">
        <v>3529</v>
      </c>
      <c r="J92" s="112">
        <v>3529</v>
      </c>
      <c r="K92" s="82">
        <f t="shared" si="2"/>
        <v>100</v>
      </c>
      <c r="L92" s="3"/>
      <c r="M92" s="2"/>
    </row>
    <row r="93" spans="1:34" ht="30">
      <c r="A93" s="135" t="s">
        <v>117</v>
      </c>
      <c r="B93" s="48" t="s">
        <v>118</v>
      </c>
      <c r="C93" s="48" t="s">
        <v>119</v>
      </c>
      <c r="D93" s="93">
        <v>5</v>
      </c>
      <c r="E93" s="93">
        <v>5</v>
      </c>
      <c r="F93" s="93">
        <v>5</v>
      </c>
      <c r="G93" s="79">
        <f t="shared" si="12"/>
        <v>100</v>
      </c>
      <c r="H93" s="112">
        <v>17032</v>
      </c>
      <c r="I93" s="112">
        <v>19679</v>
      </c>
      <c r="J93" s="112">
        <v>19679</v>
      </c>
      <c r="K93" s="82">
        <f t="shared" si="2"/>
        <v>100</v>
      </c>
      <c r="L93" s="3"/>
      <c r="M93" s="2"/>
    </row>
    <row r="94" spans="1:34" ht="30">
      <c r="A94" s="135" t="s">
        <v>120</v>
      </c>
      <c r="B94" s="48" t="s">
        <v>121</v>
      </c>
      <c r="C94" s="48" t="s">
        <v>122</v>
      </c>
      <c r="D94" s="93">
        <v>20</v>
      </c>
      <c r="E94" s="93">
        <v>20</v>
      </c>
      <c r="F94" s="93">
        <v>20</v>
      </c>
      <c r="G94" s="79">
        <f t="shared" si="12"/>
        <v>100</v>
      </c>
      <c r="H94" s="112">
        <f>6689-2466</f>
        <v>4223</v>
      </c>
      <c r="I94" s="112">
        <v>6689</v>
      </c>
      <c r="J94" s="112">
        <v>6689</v>
      </c>
      <c r="K94" s="82">
        <f t="shared" si="2"/>
        <v>100</v>
      </c>
      <c r="L94" s="3" t="s">
        <v>151</v>
      </c>
      <c r="M94" s="2"/>
      <c r="T94" t="s">
        <v>152</v>
      </c>
      <c r="AF94">
        <f>16822.3</f>
        <v>16822.3</v>
      </c>
      <c r="AG94">
        <v>22443.41</v>
      </c>
      <c r="AH94">
        <v>21689.4</v>
      </c>
    </row>
    <row r="95" spans="1:34" ht="45">
      <c r="A95" s="135" t="s">
        <v>125</v>
      </c>
      <c r="B95" s="48" t="s">
        <v>126</v>
      </c>
      <c r="C95" s="48" t="s">
        <v>127</v>
      </c>
      <c r="D95" s="93">
        <f>L95+T95+AB95</f>
        <v>3761</v>
      </c>
      <c r="E95" s="93">
        <f t="shared" ref="E95:E96" si="19">M95+U95+AC95</f>
        <v>3771</v>
      </c>
      <c r="F95" s="93">
        <f t="shared" ref="F95:F96" si="20">N95+V95+AD95</f>
        <v>3732</v>
      </c>
      <c r="G95" s="79">
        <f t="shared" si="12"/>
        <v>99</v>
      </c>
      <c r="H95" s="112">
        <f>P95+X95+AF95</f>
        <v>188767.1</v>
      </c>
      <c r="I95" s="112">
        <f t="shared" ref="I95:I96" si="21">Q95+Y95+AG95</f>
        <v>214985.5</v>
      </c>
      <c r="J95" s="112">
        <f t="shared" ref="J95:J96" si="22">R95+Z95+AH95</f>
        <v>214382.3</v>
      </c>
      <c r="K95" s="82">
        <f t="shared" si="2"/>
        <v>99.7</v>
      </c>
      <c r="L95" s="122">
        <v>3004</v>
      </c>
      <c r="M95" s="9">
        <v>3014</v>
      </c>
      <c r="N95" s="9">
        <v>2989</v>
      </c>
      <c r="O95" s="11">
        <f>N95/M95*100</f>
        <v>99.2</v>
      </c>
      <c r="P95" s="10">
        <v>145296.6</v>
      </c>
      <c r="Q95" s="10">
        <f>160816595.42/1000</f>
        <v>160816.6</v>
      </c>
      <c r="R95" s="10">
        <f>Q95</f>
        <v>160816.6</v>
      </c>
      <c r="S95" s="8">
        <f t="shared" ref="S95" si="23">Q95/R95*100</f>
        <v>100</v>
      </c>
      <c r="T95" s="13">
        <v>600</v>
      </c>
      <c r="U95" s="13">
        <v>600</v>
      </c>
      <c r="V95" s="13">
        <v>586</v>
      </c>
      <c r="W95" s="12">
        <f>V95/U95*100</f>
        <v>97.7</v>
      </c>
      <c r="X95" s="14">
        <v>30012.7</v>
      </c>
      <c r="Y95" s="14">
        <v>36214.15</v>
      </c>
      <c r="Z95" s="14">
        <v>36214.15</v>
      </c>
      <c r="AA95" s="15">
        <f>Z95/Y95*100</f>
        <v>100</v>
      </c>
      <c r="AB95">
        <f>14+143</f>
        <v>157</v>
      </c>
      <c r="AC95">
        <f t="shared" ref="AC95:AD95" si="24">14+143</f>
        <v>157</v>
      </c>
      <c r="AD95">
        <f t="shared" si="24"/>
        <v>157</v>
      </c>
      <c r="AF95" s="41">
        <f>AF94*0.8</f>
        <v>13457.8</v>
      </c>
      <c r="AG95" s="41">
        <f t="shared" ref="AG95:AH95" si="25">AG94*0.8</f>
        <v>17954.7</v>
      </c>
      <c r="AH95" s="41">
        <f t="shared" si="25"/>
        <v>17351.5</v>
      </c>
    </row>
    <row r="96" spans="1:34" ht="45">
      <c r="A96" s="135" t="s">
        <v>47</v>
      </c>
      <c r="B96" s="48" t="s">
        <v>126</v>
      </c>
      <c r="C96" s="48" t="s">
        <v>127</v>
      </c>
      <c r="D96" s="93">
        <f t="shared" ref="D96" si="26">L96+T96+AB96</f>
        <v>1047</v>
      </c>
      <c r="E96" s="93">
        <f t="shared" si="19"/>
        <v>1072</v>
      </c>
      <c r="F96" s="93">
        <f t="shared" si="20"/>
        <v>1059</v>
      </c>
      <c r="G96" s="79">
        <f t="shared" si="12"/>
        <v>98.8</v>
      </c>
      <c r="H96" s="112">
        <f t="shared" ref="H96" si="27">P96+X96+AF96</f>
        <v>61709.9</v>
      </c>
      <c r="I96" s="112">
        <f t="shared" si="21"/>
        <v>74347.7</v>
      </c>
      <c r="J96" s="112">
        <f t="shared" si="22"/>
        <v>74196.899999999994</v>
      </c>
      <c r="K96" s="82">
        <f t="shared" si="2"/>
        <v>99.8</v>
      </c>
      <c r="L96" s="122">
        <v>1005</v>
      </c>
      <c r="M96" s="9">
        <v>1030</v>
      </c>
      <c r="N96" s="9">
        <v>1017</v>
      </c>
      <c r="O96" s="11">
        <f>N96/M96*100</f>
        <v>98.7</v>
      </c>
      <c r="P96" s="10">
        <v>58345.4</v>
      </c>
      <c r="Q96" s="10">
        <f>69859013.72/1000</f>
        <v>69859.009999999995</v>
      </c>
      <c r="R96" s="10">
        <f>Q96</f>
        <v>69859.009999999995</v>
      </c>
      <c r="S96" s="8">
        <f t="shared" ref="S96:S97" si="28">R96/Q96*100</f>
        <v>100</v>
      </c>
      <c r="AB96">
        <v>42</v>
      </c>
      <c r="AC96">
        <v>42</v>
      </c>
      <c r="AD96">
        <v>42</v>
      </c>
      <c r="AF96" s="41">
        <f>AF94*0.2</f>
        <v>3364.5</v>
      </c>
      <c r="AG96" s="41">
        <f t="shared" ref="AG96:AH96" si="29">AG94*0.2</f>
        <v>4488.7</v>
      </c>
      <c r="AH96" s="41">
        <f t="shared" si="29"/>
        <v>4337.8999999999996</v>
      </c>
    </row>
    <row r="97" spans="1:19" ht="60">
      <c r="A97" s="135" t="s">
        <v>128</v>
      </c>
      <c r="B97" s="48" t="s">
        <v>101</v>
      </c>
      <c r="C97" s="48" t="s">
        <v>124</v>
      </c>
      <c r="D97" s="93">
        <v>62460</v>
      </c>
      <c r="E97" s="93">
        <v>62460</v>
      </c>
      <c r="F97" s="93">
        <v>62052</v>
      </c>
      <c r="G97" s="79">
        <f t="shared" si="12"/>
        <v>99.3</v>
      </c>
      <c r="H97" s="112">
        <v>5137.2</v>
      </c>
      <c r="I97" s="112">
        <f>5137201.21/1000</f>
        <v>5137.2</v>
      </c>
      <c r="J97" s="112">
        <f>I97</f>
        <v>5137.2</v>
      </c>
      <c r="K97" s="82">
        <f t="shared" si="2"/>
        <v>100</v>
      </c>
      <c r="L97" s="122">
        <v>62460</v>
      </c>
      <c r="M97" s="9">
        <v>62460</v>
      </c>
      <c r="N97" s="9">
        <v>62052</v>
      </c>
      <c r="O97" s="11">
        <f>N97/M97*100</f>
        <v>99.3</v>
      </c>
      <c r="P97" s="10">
        <v>5137.2</v>
      </c>
      <c r="Q97" s="10">
        <f>5137201.21/1000</f>
        <v>5137.2</v>
      </c>
      <c r="R97" s="10">
        <f>Q97</f>
        <v>5137.2</v>
      </c>
      <c r="S97" s="8">
        <f t="shared" si="28"/>
        <v>100</v>
      </c>
    </row>
    <row r="98" spans="1:19" ht="17.25">
      <c r="A98" s="135" t="s">
        <v>129</v>
      </c>
      <c r="B98" s="48" t="s">
        <v>130</v>
      </c>
      <c r="C98" s="48" t="s">
        <v>127</v>
      </c>
      <c r="D98" s="93">
        <v>130</v>
      </c>
      <c r="E98" s="93">
        <v>130</v>
      </c>
      <c r="F98" s="93">
        <v>136</v>
      </c>
      <c r="G98" s="79">
        <f t="shared" si="12"/>
        <v>104.6</v>
      </c>
      <c r="H98" s="112">
        <f>362830/1000</f>
        <v>362.8</v>
      </c>
      <c r="I98" s="112">
        <f t="shared" ref="I98:J98" si="30">362830/1000</f>
        <v>362.8</v>
      </c>
      <c r="J98" s="112">
        <f t="shared" si="30"/>
        <v>362.8</v>
      </c>
      <c r="K98" s="82">
        <f t="shared" si="2"/>
        <v>100</v>
      </c>
      <c r="L98" s="3"/>
      <c r="M98" s="2"/>
    </row>
    <row r="99" spans="1:19" ht="90">
      <c r="A99" s="135" t="s">
        <v>131</v>
      </c>
      <c r="B99" s="48" t="s">
        <v>132</v>
      </c>
      <c r="C99" s="48" t="s">
        <v>18</v>
      </c>
      <c r="D99" s="93">
        <v>80</v>
      </c>
      <c r="E99" s="93">
        <v>80</v>
      </c>
      <c r="F99" s="93">
        <v>84</v>
      </c>
      <c r="G99" s="79">
        <f t="shared" si="12"/>
        <v>105</v>
      </c>
      <c r="H99" s="113">
        <v>7595.5</v>
      </c>
      <c r="I99" s="112">
        <v>8056.9</v>
      </c>
      <c r="J99" s="112">
        <v>8056.9</v>
      </c>
      <c r="K99" s="82">
        <f t="shared" si="2"/>
        <v>100</v>
      </c>
      <c r="L99" s="123"/>
      <c r="M99" s="13"/>
      <c r="N99" s="13"/>
    </row>
    <row r="100" spans="1:19" ht="17.25">
      <c r="A100" s="193" t="s">
        <v>66</v>
      </c>
      <c r="B100" s="194"/>
      <c r="C100" s="50"/>
      <c r="D100" s="58"/>
      <c r="E100" s="58"/>
      <c r="F100" s="58"/>
      <c r="G100" s="79"/>
      <c r="H100" s="105">
        <f>SUM(H101:H110)</f>
        <v>174060.79999999999</v>
      </c>
      <c r="I100" s="105">
        <f>SUM(I101:I110)</f>
        <v>204752.2</v>
      </c>
      <c r="J100" s="105">
        <f>SUM(J101:J110)</f>
        <v>204751.8</v>
      </c>
      <c r="K100" s="82">
        <f t="shared" si="2"/>
        <v>100</v>
      </c>
      <c r="L100" s="3"/>
      <c r="M100" s="2"/>
    </row>
    <row r="101" spans="1:19" ht="45.75">
      <c r="A101" s="138" t="s">
        <v>2</v>
      </c>
      <c r="B101" s="68" t="s">
        <v>25</v>
      </c>
      <c r="C101" s="50" t="s">
        <v>1</v>
      </c>
      <c r="D101" s="58">
        <f>59409+68000</f>
        <v>127409</v>
      </c>
      <c r="E101" s="58">
        <f>D101</f>
        <v>127409</v>
      </c>
      <c r="F101" s="58">
        <f>71109+61801</f>
        <v>132910</v>
      </c>
      <c r="G101" s="79">
        <f t="shared" si="12"/>
        <v>104.3</v>
      </c>
      <c r="H101" s="95">
        <f>7794.8+20431</f>
        <v>28225.8</v>
      </c>
      <c r="I101" s="95">
        <f>9211+27052.8</f>
        <v>36263.800000000003</v>
      </c>
      <c r="J101" s="95">
        <f>9211+27052.4</f>
        <v>36263.4</v>
      </c>
      <c r="K101" s="97">
        <f t="shared" si="2"/>
        <v>100</v>
      </c>
      <c r="L101" s="3"/>
      <c r="M101" s="2"/>
    </row>
    <row r="102" spans="1:19" ht="30.75">
      <c r="A102" s="138" t="s">
        <v>23</v>
      </c>
      <c r="B102" s="68" t="s">
        <v>4</v>
      </c>
      <c r="C102" s="50" t="s">
        <v>0</v>
      </c>
      <c r="D102" s="58">
        <v>36235</v>
      </c>
      <c r="E102" s="58">
        <v>36235</v>
      </c>
      <c r="F102" s="58">
        <v>40237</v>
      </c>
      <c r="G102" s="79">
        <f t="shared" si="12"/>
        <v>111</v>
      </c>
      <c r="H102" s="95">
        <v>15528.4</v>
      </c>
      <c r="I102" s="95">
        <v>20257.099999999999</v>
      </c>
      <c r="J102" s="95">
        <v>20257.099999999999</v>
      </c>
      <c r="K102" s="97">
        <f t="shared" si="2"/>
        <v>100</v>
      </c>
      <c r="L102" s="3"/>
      <c r="M102" s="2"/>
    </row>
    <row r="103" spans="1:19" ht="17.25">
      <c r="A103" s="138" t="s">
        <v>22</v>
      </c>
      <c r="B103" s="68" t="s">
        <v>4</v>
      </c>
      <c r="C103" s="50" t="s">
        <v>0</v>
      </c>
      <c r="D103" s="58">
        <v>17822</v>
      </c>
      <c r="E103" s="58">
        <v>17822</v>
      </c>
      <c r="F103" s="58">
        <v>17822</v>
      </c>
      <c r="G103" s="79">
        <f t="shared" si="12"/>
        <v>100</v>
      </c>
      <c r="H103" s="95">
        <v>16832.599999999999</v>
      </c>
      <c r="I103" s="95">
        <v>20679.7</v>
      </c>
      <c r="J103" s="95">
        <v>20679.7</v>
      </c>
      <c r="K103" s="97">
        <f t="shared" si="2"/>
        <v>100</v>
      </c>
      <c r="L103" s="3"/>
      <c r="M103" s="2"/>
    </row>
    <row r="104" spans="1:19" ht="30.75">
      <c r="A104" s="138" t="s">
        <v>3</v>
      </c>
      <c r="B104" s="68" t="s">
        <v>24</v>
      </c>
      <c r="C104" s="50" t="s">
        <v>1</v>
      </c>
      <c r="D104" s="58">
        <v>154</v>
      </c>
      <c r="E104" s="58">
        <v>300</v>
      </c>
      <c r="F104" s="58">
        <v>308</v>
      </c>
      <c r="G104" s="79">
        <f t="shared" si="12"/>
        <v>102.7</v>
      </c>
      <c r="H104" s="95">
        <v>38393</v>
      </c>
      <c r="I104" s="95">
        <v>42020.9</v>
      </c>
      <c r="J104" s="95">
        <v>42020.9</v>
      </c>
      <c r="K104" s="97">
        <f t="shared" si="2"/>
        <v>100</v>
      </c>
      <c r="L104" s="3"/>
      <c r="M104" s="2"/>
    </row>
    <row r="105" spans="1:19" ht="30.75">
      <c r="A105" s="138" t="s">
        <v>5</v>
      </c>
      <c r="B105" s="68" t="s">
        <v>6</v>
      </c>
      <c r="C105" s="50" t="s">
        <v>0</v>
      </c>
      <c r="D105" s="58">
        <v>30000</v>
      </c>
      <c r="E105" s="58">
        <v>50000</v>
      </c>
      <c r="F105" s="58">
        <v>55435</v>
      </c>
      <c r="G105" s="79">
        <f t="shared" si="12"/>
        <v>110.9</v>
      </c>
      <c r="H105" s="95">
        <v>44779.199999999997</v>
      </c>
      <c r="I105" s="95">
        <v>51540.1</v>
      </c>
      <c r="J105" s="95">
        <f>I105</f>
        <v>51540.1</v>
      </c>
      <c r="K105" s="97">
        <f t="shared" ref="K105:K148" si="31">J105/I105*100</f>
        <v>100</v>
      </c>
      <c r="L105" s="3"/>
      <c r="M105" s="2"/>
    </row>
    <row r="106" spans="1:19" ht="30.75">
      <c r="A106" s="138" t="s">
        <v>49</v>
      </c>
      <c r="B106" s="69" t="s">
        <v>46</v>
      </c>
      <c r="C106" s="50" t="s">
        <v>29</v>
      </c>
      <c r="D106" s="58">
        <v>24</v>
      </c>
      <c r="E106" s="107">
        <v>24</v>
      </c>
      <c r="F106" s="107">
        <v>24</v>
      </c>
      <c r="G106" s="79">
        <f t="shared" si="12"/>
        <v>100</v>
      </c>
      <c r="H106" s="95">
        <v>6535</v>
      </c>
      <c r="I106" s="95">
        <f>8837.4+707.6</f>
        <v>9545</v>
      </c>
      <c r="J106" s="95">
        <f>8837.4+707.6</f>
        <v>9545</v>
      </c>
      <c r="K106" s="97">
        <f t="shared" si="31"/>
        <v>100</v>
      </c>
      <c r="L106" s="3"/>
      <c r="M106" s="2"/>
    </row>
    <row r="107" spans="1:19" s="154" customFormat="1" ht="45.75">
      <c r="A107" s="156" t="s">
        <v>48</v>
      </c>
      <c r="B107" s="157" t="s">
        <v>37</v>
      </c>
      <c r="C107" s="53" t="s">
        <v>38</v>
      </c>
      <c r="D107" s="58">
        <v>7</v>
      </c>
      <c r="E107" s="107">
        <v>7</v>
      </c>
      <c r="F107" s="107">
        <v>7</v>
      </c>
      <c r="G107" s="79">
        <f t="shared" si="12"/>
        <v>100</v>
      </c>
      <c r="H107" s="95">
        <v>5429.2</v>
      </c>
      <c r="I107" s="95">
        <v>5429.2</v>
      </c>
      <c r="J107" s="95">
        <v>5429.2</v>
      </c>
      <c r="K107" s="97">
        <f t="shared" si="31"/>
        <v>100</v>
      </c>
      <c r="L107" s="3"/>
      <c r="M107" s="2"/>
    </row>
    <row r="108" spans="1:19" ht="17.25">
      <c r="A108" s="138" t="s">
        <v>159</v>
      </c>
      <c r="B108" s="70" t="s">
        <v>160</v>
      </c>
      <c r="C108" s="50" t="s">
        <v>18</v>
      </c>
      <c r="D108" s="58">
        <v>1802</v>
      </c>
      <c r="E108" s="58">
        <v>1810</v>
      </c>
      <c r="F108" s="58">
        <v>1810</v>
      </c>
      <c r="G108" s="79">
        <f t="shared" si="12"/>
        <v>100</v>
      </c>
      <c r="H108" s="95">
        <v>14946.5</v>
      </c>
      <c r="I108" s="95">
        <v>14541.9</v>
      </c>
      <c r="J108" s="95">
        <v>14541.9</v>
      </c>
      <c r="K108" s="97">
        <f t="shared" si="31"/>
        <v>100</v>
      </c>
      <c r="L108" s="3"/>
      <c r="M108" s="2"/>
    </row>
    <row r="109" spans="1:19" ht="17.25">
      <c r="A109" s="138" t="s">
        <v>159</v>
      </c>
      <c r="B109" s="70" t="s">
        <v>161</v>
      </c>
      <c r="C109" s="50" t="s">
        <v>18</v>
      </c>
      <c r="D109" s="58">
        <v>4000</v>
      </c>
      <c r="E109" s="58">
        <v>4000</v>
      </c>
      <c r="F109" s="58">
        <v>4000</v>
      </c>
      <c r="G109" s="79">
        <f t="shared" si="12"/>
        <v>100</v>
      </c>
      <c r="H109" s="216">
        <v>3391.1</v>
      </c>
      <c r="I109" s="216">
        <v>4474.5</v>
      </c>
      <c r="J109" s="216">
        <v>4474.5</v>
      </c>
      <c r="K109" s="97"/>
      <c r="L109" s="3"/>
      <c r="M109" s="2"/>
    </row>
    <row r="110" spans="1:19" ht="17.25">
      <c r="A110" s="139" t="s">
        <v>159</v>
      </c>
      <c r="B110" s="69" t="s">
        <v>19</v>
      </c>
      <c r="C110" s="50" t="s">
        <v>18</v>
      </c>
      <c r="D110" s="58">
        <v>2500</v>
      </c>
      <c r="E110" s="58">
        <v>2650</v>
      </c>
      <c r="F110" s="58">
        <v>2650</v>
      </c>
      <c r="G110" s="79">
        <f t="shared" si="12"/>
        <v>100</v>
      </c>
      <c r="H110" s="216"/>
      <c r="I110" s="216"/>
      <c r="J110" s="216"/>
      <c r="K110" s="97">
        <f>J109/I109*100</f>
        <v>100</v>
      </c>
      <c r="L110" s="3"/>
      <c r="M110" s="2"/>
    </row>
    <row r="111" spans="1:19" ht="17.25">
      <c r="A111" s="190" t="s">
        <v>69</v>
      </c>
      <c r="B111" s="191"/>
      <c r="C111" s="192"/>
      <c r="D111" s="96"/>
      <c r="E111" s="96"/>
      <c r="F111" s="96"/>
      <c r="G111" s="79"/>
      <c r="H111" s="114">
        <f>SUM(H112:H125)</f>
        <v>72958.5</v>
      </c>
      <c r="I111" s="114">
        <f t="shared" ref="I111:J111" si="32">SUM(I112:I125)</f>
        <v>82035</v>
      </c>
      <c r="J111" s="114">
        <f t="shared" si="32"/>
        <v>82035</v>
      </c>
      <c r="K111" s="97">
        <f t="shared" si="31"/>
        <v>100</v>
      </c>
      <c r="L111" s="3"/>
      <c r="M111" s="2"/>
    </row>
    <row r="112" spans="1:19" ht="60.75">
      <c r="A112" s="71" t="s">
        <v>162</v>
      </c>
      <c r="B112" s="72" t="s">
        <v>163</v>
      </c>
      <c r="C112" s="50" t="s">
        <v>0</v>
      </c>
      <c r="D112" s="98">
        <v>22267</v>
      </c>
      <c r="E112" s="98">
        <v>22267</v>
      </c>
      <c r="F112" s="98">
        <v>22267</v>
      </c>
      <c r="G112" s="79">
        <f t="shared" si="12"/>
        <v>100</v>
      </c>
      <c r="H112" s="115">
        <v>5679</v>
      </c>
      <c r="I112" s="115">
        <v>6179</v>
      </c>
      <c r="J112" s="115">
        <v>6179</v>
      </c>
      <c r="K112" s="97">
        <f t="shared" si="31"/>
        <v>100</v>
      </c>
      <c r="L112" s="40"/>
      <c r="M112" s="2"/>
    </row>
    <row r="113" spans="1:21" ht="45.75">
      <c r="A113" s="61" t="s">
        <v>27</v>
      </c>
      <c r="B113" s="54" t="s">
        <v>26</v>
      </c>
      <c r="C113" s="53" t="s">
        <v>0</v>
      </c>
      <c r="D113" s="80">
        <f>413+43+60</f>
        <v>516</v>
      </c>
      <c r="E113" s="80">
        <f t="shared" ref="E113:F113" si="33">413+43+60</f>
        <v>516</v>
      </c>
      <c r="F113" s="80">
        <f t="shared" si="33"/>
        <v>516</v>
      </c>
      <c r="G113" s="79">
        <f t="shared" si="12"/>
        <v>100</v>
      </c>
      <c r="H113" s="91">
        <f>7850+2439.7+4909.72</f>
        <v>15199.4</v>
      </c>
      <c r="I113" s="91">
        <f>9242.47+2889.36+5023.77</f>
        <v>17155.599999999999</v>
      </c>
      <c r="J113" s="91">
        <f>9242.47+2889.36+5023.77</f>
        <v>17155.599999999999</v>
      </c>
      <c r="K113" s="82">
        <f t="shared" si="31"/>
        <v>100</v>
      </c>
      <c r="L113" s="3"/>
      <c r="M113" s="2"/>
    </row>
    <row r="114" spans="1:21" ht="45.75">
      <c r="A114" s="61" t="s">
        <v>50</v>
      </c>
      <c r="B114" s="54" t="s">
        <v>26</v>
      </c>
      <c r="C114" s="53" t="s">
        <v>0</v>
      </c>
      <c r="D114" s="80">
        <f>198+38+71</f>
        <v>307</v>
      </c>
      <c r="E114" s="80">
        <f t="shared" ref="E114:F114" si="34">198+38+71</f>
        <v>307</v>
      </c>
      <c r="F114" s="80">
        <f t="shared" si="34"/>
        <v>307</v>
      </c>
      <c r="G114" s="79">
        <f t="shared" si="12"/>
        <v>100</v>
      </c>
      <c r="H114" s="91">
        <f>3278.3+2050.78+6729.41</f>
        <v>12058.5</v>
      </c>
      <c r="I114" s="91">
        <f>5069.4+2425.73+6891.75</f>
        <v>14386.9</v>
      </c>
      <c r="J114" s="91">
        <f>5069.4+2425.73+6891.75</f>
        <v>14386.9</v>
      </c>
      <c r="K114" s="82">
        <f t="shared" si="31"/>
        <v>100</v>
      </c>
      <c r="L114" s="3"/>
      <c r="M114" s="2"/>
    </row>
    <row r="115" spans="1:21" ht="45.75">
      <c r="A115" s="61" t="s">
        <v>164</v>
      </c>
      <c r="B115" s="54" t="s">
        <v>98</v>
      </c>
      <c r="C115" s="53" t="s">
        <v>122</v>
      </c>
      <c r="D115" s="80">
        <f>68+60+10</f>
        <v>138</v>
      </c>
      <c r="E115" s="80">
        <f t="shared" ref="E115:F115" si="35">68+60+10</f>
        <v>138</v>
      </c>
      <c r="F115" s="80">
        <f t="shared" si="35"/>
        <v>138</v>
      </c>
      <c r="G115" s="79">
        <f t="shared" si="12"/>
        <v>100</v>
      </c>
      <c r="H115" s="91">
        <f>4800+4000+1200</f>
        <v>10000</v>
      </c>
      <c r="I115" s="91">
        <f t="shared" ref="I115:J115" si="36">4800+4000+1200</f>
        <v>10000</v>
      </c>
      <c r="J115" s="91">
        <f t="shared" si="36"/>
        <v>10000</v>
      </c>
      <c r="K115" s="82">
        <f t="shared" si="31"/>
        <v>100</v>
      </c>
      <c r="L115" s="3"/>
      <c r="M115" s="2"/>
    </row>
    <row r="116" spans="1:21" ht="30">
      <c r="A116" s="140" t="s">
        <v>123</v>
      </c>
      <c r="B116" s="49" t="s">
        <v>101</v>
      </c>
      <c r="C116" s="49" t="s">
        <v>124</v>
      </c>
      <c r="D116" s="68">
        <f>246146+22770</f>
        <v>268916</v>
      </c>
      <c r="E116" s="68">
        <f>246146+22770</f>
        <v>268916</v>
      </c>
      <c r="F116" s="68">
        <f>246146+22770</f>
        <v>268916</v>
      </c>
      <c r="G116" s="79">
        <f t="shared" si="12"/>
        <v>100</v>
      </c>
      <c r="H116" s="116">
        <f>15786+4052</f>
        <v>19838</v>
      </c>
      <c r="I116" s="155">
        <v>23589.5</v>
      </c>
      <c r="J116" s="155">
        <v>23589.5</v>
      </c>
      <c r="K116" s="141">
        <f>I116/J116*100</f>
        <v>100</v>
      </c>
      <c r="L116" s="3" t="s">
        <v>158</v>
      </c>
      <c r="M116" s="2"/>
    </row>
    <row r="117" spans="1:21" ht="90">
      <c r="A117" s="140" t="s">
        <v>165</v>
      </c>
      <c r="B117" s="69" t="s">
        <v>98</v>
      </c>
      <c r="C117" s="49" t="s">
        <v>122</v>
      </c>
      <c r="D117" s="68">
        <v>13</v>
      </c>
      <c r="E117" s="68">
        <v>13</v>
      </c>
      <c r="F117" s="68">
        <v>17</v>
      </c>
      <c r="G117" s="79">
        <f t="shared" si="12"/>
        <v>130.80000000000001</v>
      </c>
      <c r="H117" s="116">
        <v>400</v>
      </c>
      <c r="I117" s="116">
        <v>400</v>
      </c>
      <c r="J117" s="116">
        <v>400</v>
      </c>
      <c r="K117" s="141">
        <f>I117/J117*100</f>
        <v>100</v>
      </c>
      <c r="L117" s="40"/>
      <c r="M117" s="2"/>
    </row>
    <row r="118" spans="1:21" ht="30">
      <c r="A118" s="140" t="s">
        <v>166</v>
      </c>
      <c r="B118" s="69" t="s">
        <v>98</v>
      </c>
      <c r="C118" s="49" t="s">
        <v>1</v>
      </c>
      <c r="D118" s="68">
        <v>26</v>
      </c>
      <c r="E118" s="68">
        <v>26</v>
      </c>
      <c r="F118" s="68">
        <v>40</v>
      </c>
      <c r="G118" s="79">
        <f t="shared" si="12"/>
        <v>153.80000000000001</v>
      </c>
      <c r="H118" s="116">
        <v>300</v>
      </c>
      <c r="I118" s="116">
        <v>300</v>
      </c>
      <c r="J118" s="116">
        <v>300</v>
      </c>
      <c r="K118" s="141">
        <f>I118/J118*100</f>
        <v>100</v>
      </c>
      <c r="L118" s="40"/>
      <c r="M118" s="2"/>
    </row>
    <row r="119" spans="1:21" ht="45.75">
      <c r="A119" s="73" t="s">
        <v>42</v>
      </c>
      <c r="B119" s="54" t="s">
        <v>26</v>
      </c>
      <c r="C119" s="53" t="s">
        <v>0</v>
      </c>
      <c r="D119" s="80">
        <v>29</v>
      </c>
      <c r="E119" s="80">
        <v>30</v>
      </c>
      <c r="F119" s="80">
        <v>30</v>
      </c>
      <c r="G119" s="79">
        <f t="shared" si="12"/>
        <v>100</v>
      </c>
      <c r="H119" s="91">
        <v>1538.2</v>
      </c>
      <c r="I119" s="91">
        <v>1849</v>
      </c>
      <c r="J119" s="91">
        <v>1849</v>
      </c>
      <c r="K119" s="82">
        <f t="shared" si="31"/>
        <v>100</v>
      </c>
      <c r="L119" s="3"/>
      <c r="M119" s="2"/>
    </row>
    <row r="120" spans="1:21" ht="45.75">
      <c r="A120" s="73" t="s">
        <v>43</v>
      </c>
      <c r="B120" s="54" t="s">
        <v>26</v>
      </c>
      <c r="C120" s="53" t="s">
        <v>0</v>
      </c>
      <c r="D120" s="80">
        <v>107</v>
      </c>
      <c r="E120" s="80">
        <v>106</v>
      </c>
      <c r="F120" s="80">
        <v>106</v>
      </c>
      <c r="G120" s="79">
        <f t="shared" si="12"/>
        <v>100</v>
      </c>
      <c r="H120" s="91">
        <v>1698</v>
      </c>
      <c r="I120" s="91">
        <v>1861.6</v>
      </c>
      <c r="J120" s="91">
        <v>1861.6</v>
      </c>
      <c r="K120" s="82">
        <f t="shared" si="31"/>
        <v>100</v>
      </c>
      <c r="L120" s="3"/>
      <c r="M120" s="2"/>
    </row>
    <row r="121" spans="1:21" ht="45.75">
      <c r="A121" s="73" t="s">
        <v>167</v>
      </c>
      <c r="B121" s="69" t="s">
        <v>98</v>
      </c>
      <c r="C121" s="49" t="s">
        <v>122</v>
      </c>
      <c r="D121" s="80">
        <v>32</v>
      </c>
      <c r="E121" s="80">
        <v>32</v>
      </c>
      <c r="F121" s="80">
        <v>32</v>
      </c>
      <c r="G121" s="79">
        <f t="shared" si="12"/>
        <v>100</v>
      </c>
      <c r="H121" s="91">
        <v>1543.6</v>
      </c>
      <c r="I121" s="91">
        <v>1543.6</v>
      </c>
      <c r="J121" s="91">
        <v>1543.6</v>
      </c>
      <c r="K121" s="82">
        <f t="shared" si="31"/>
        <v>100</v>
      </c>
      <c r="L121" s="3"/>
      <c r="M121" s="2"/>
    </row>
    <row r="122" spans="1:21" ht="45.75">
      <c r="A122" s="73" t="s">
        <v>168</v>
      </c>
      <c r="B122" s="69" t="s">
        <v>98</v>
      </c>
      <c r="C122" s="49" t="s">
        <v>122</v>
      </c>
      <c r="D122" s="80">
        <v>56</v>
      </c>
      <c r="E122" s="80">
        <v>56</v>
      </c>
      <c r="F122" s="80">
        <v>61</v>
      </c>
      <c r="G122" s="79">
        <f t="shared" si="12"/>
        <v>108.9</v>
      </c>
      <c r="H122" s="91">
        <v>681.5</v>
      </c>
      <c r="I122" s="91">
        <v>681.6</v>
      </c>
      <c r="J122" s="91">
        <v>681.6</v>
      </c>
      <c r="K122" s="82">
        <f t="shared" si="31"/>
        <v>100</v>
      </c>
      <c r="L122" s="3"/>
      <c r="M122" s="2"/>
    </row>
    <row r="123" spans="1:21" ht="17.25">
      <c r="A123" s="73" t="s">
        <v>169</v>
      </c>
      <c r="B123" s="69" t="s">
        <v>98</v>
      </c>
      <c r="C123" s="49" t="s">
        <v>122</v>
      </c>
      <c r="D123" s="80">
        <v>80</v>
      </c>
      <c r="E123" s="80">
        <v>80</v>
      </c>
      <c r="F123" s="80">
        <v>85</v>
      </c>
      <c r="G123" s="79">
        <f t="shared" si="12"/>
        <v>106.3</v>
      </c>
      <c r="H123" s="91">
        <v>286.2</v>
      </c>
      <c r="I123" s="91">
        <v>352.1</v>
      </c>
      <c r="J123" s="91">
        <v>352.1</v>
      </c>
      <c r="K123" s="82">
        <f t="shared" si="31"/>
        <v>100</v>
      </c>
      <c r="L123" s="3"/>
      <c r="M123" s="2"/>
    </row>
    <row r="124" spans="1:21" ht="30.75">
      <c r="A124" s="73" t="s">
        <v>170</v>
      </c>
      <c r="B124" s="69" t="s">
        <v>98</v>
      </c>
      <c r="C124" s="49" t="s">
        <v>122</v>
      </c>
      <c r="D124" s="80">
        <v>51</v>
      </c>
      <c r="E124" s="80">
        <v>51</v>
      </c>
      <c r="F124" s="80">
        <v>69</v>
      </c>
      <c r="G124" s="79">
        <f t="shared" si="12"/>
        <v>135.30000000000001</v>
      </c>
      <c r="H124" s="91">
        <v>3673.5</v>
      </c>
      <c r="I124" s="91">
        <v>3673.5</v>
      </c>
      <c r="J124" s="91">
        <v>3673.5</v>
      </c>
      <c r="K124" s="82">
        <f t="shared" si="31"/>
        <v>100</v>
      </c>
      <c r="L124" s="3"/>
      <c r="M124" s="2"/>
    </row>
    <row r="125" spans="1:21" ht="30.75">
      <c r="A125" s="73" t="s">
        <v>171</v>
      </c>
      <c r="B125" s="69" t="s">
        <v>98</v>
      </c>
      <c r="C125" s="49" t="s">
        <v>122</v>
      </c>
      <c r="D125" s="80">
        <v>15</v>
      </c>
      <c r="E125" s="80">
        <v>15</v>
      </c>
      <c r="F125" s="80">
        <v>15</v>
      </c>
      <c r="G125" s="79">
        <f t="shared" si="12"/>
        <v>100</v>
      </c>
      <c r="H125" s="91">
        <v>62.6</v>
      </c>
      <c r="I125" s="91">
        <v>62.6</v>
      </c>
      <c r="J125" s="91">
        <v>62.6</v>
      </c>
      <c r="K125" s="82">
        <f t="shared" si="31"/>
        <v>100</v>
      </c>
      <c r="L125" s="3"/>
      <c r="M125" s="2"/>
    </row>
    <row r="126" spans="1:21" ht="17.25">
      <c r="A126" s="74" t="s">
        <v>67</v>
      </c>
      <c r="B126" s="53"/>
      <c r="C126" s="53"/>
      <c r="D126" s="80"/>
      <c r="E126" s="80"/>
      <c r="F126" s="80"/>
      <c r="G126" s="79"/>
      <c r="H126" s="90">
        <f>SUM(H127:H143)</f>
        <v>329619.09999999998</v>
      </c>
      <c r="I126" s="90">
        <f t="shared" ref="I126:J126" si="37">SUM(I127:I143)</f>
        <v>369905.7</v>
      </c>
      <c r="J126" s="90">
        <f t="shared" si="37"/>
        <v>369905.7</v>
      </c>
      <c r="K126" s="142">
        <f t="shared" ref="K126:K134" si="38">J126/I126*100</f>
        <v>100</v>
      </c>
      <c r="L126" s="3"/>
      <c r="M126" s="2"/>
    </row>
    <row r="127" spans="1:21" ht="45">
      <c r="A127" s="143" t="s">
        <v>192</v>
      </c>
      <c r="B127" s="63" t="s">
        <v>80</v>
      </c>
      <c r="C127" s="63" t="s">
        <v>133</v>
      </c>
      <c r="D127" s="81">
        <f>81002+1900+8600-17511</f>
        <v>73991</v>
      </c>
      <c r="E127" s="81">
        <f>D127</f>
        <v>73991</v>
      </c>
      <c r="F127" s="81">
        <f>73695+8480+4580+3011+6161+3271+1902</f>
        <v>101100</v>
      </c>
      <c r="G127" s="79">
        <f t="shared" si="12"/>
        <v>136.6</v>
      </c>
      <c r="H127" s="91">
        <f>30660.2+992.69+4433.52-5898.1</f>
        <v>30188.3</v>
      </c>
      <c r="I127" s="91">
        <f>4570.23+1069.25+22951.54+1439.8</f>
        <v>30030.799999999999</v>
      </c>
      <c r="J127" s="91">
        <f>I127</f>
        <v>30030.799999999999</v>
      </c>
      <c r="K127" s="142">
        <f t="shared" si="38"/>
        <v>100</v>
      </c>
      <c r="L127" s="3"/>
      <c r="M127" s="2"/>
      <c r="N127" s="27"/>
      <c r="O127" s="27"/>
      <c r="P127" s="27"/>
      <c r="Q127" s="28"/>
      <c r="R127" s="29"/>
      <c r="S127" s="29"/>
      <c r="T127" s="29"/>
      <c r="U127" s="30"/>
    </row>
    <row r="128" spans="1:21" ht="45">
      <c r="A128" s="143" t="s">
        <v>192</v>
      </c>
      <c r="B128" s="63" t="s">
        <v>134</v>
      </c>
      <c r="C128" s="63" t="s">
        <v>133</v>
      </c>
      <c r="D128" s="81">
        <f>20959+2662+8600</f>
        <v>32221</v>
      </c>
      <c r="E128" s="81">
        <v>32221</v>
      </c>
      <c r="F128" s="81">
        <f>19551+1493+574+9453+1811+375</f>
        <v>33257</v>
      </c>
      <c r="G128" s="79">
        <f t="shared" si="12"/>
        <v>103.2</v>
      </c>
      <c r="H128" s="91">
        <f>5840+1033.211+6122.48</f>
        <v>12995.7</v>
      </c>
      <c r="I128" s="91">
        <f>6311.27+1112.89+7650.51</f>
        <v>15074.7</v>
      </c>
      <c r="J128" s="91">
        <f>I128</f>
        <v>15074.7</v>
      </c>
      <c r="K128" s="142">
        <f t="shared" si="38"/>
        <v>100</v>
      </c>
      <c r="L128" s="3"/>
      <c r="M128" s="2"/>
      <c r="N128" s="27"/>
      <c r="O128" s="27"/>
      <c r="P128" s="27"/>
      <c r="Q128" s="28"/>
      <c r="R128" s="29"/>
      <c r="S128" s="29"/>
      <c r="T128" s="29"/>
      <c r="U128" s="30"/>
    </row>
    <row r="129" spans="1:21" ht="75">
      <c r="A129" s="143" t="s">
        <v>191</v>
      </c>
      <c r="B129" s="63" t="s">
        <v>135</v>
      </c>
      <c r="C129" s="63" t="s">
        <v>133</v>
      </c>
      <c r="D129" s="81">
        <f>265+154+1736+105+54</f>
        <v>2314</v>
      </c>
      <c r="E129" s="81">
        <f>265+154+1736+105+54</f>
        <v>2314</v>
      </c>
      <c r="F129" s="81">
        <f>1653+252+154+91+51</f>
        <v>2201</v>
      </c>
      <c r="G129" s="79">
        <f t="shared" si="12"/>
        <v>95.1</v>
      </c>
      <c r="H129" s="91">
        <v>129402.6</v>
      </c>
      <c r="I129" s="91">
        <v>147010.6</v>
      </c>
      <c r="J129" s="91">
        <f>I129</f>
        <v>147010.6</v>
      </c>
      <c r="K129" s="142">
        <f t="shared" si="38"/>
        <v>100</v>
      </c>
      <c r="L129" s="3"/>
      <c r="M129" s="2"/>
      <c r="N129" s="27"/>
      <c r="O129" s="27"/>
      <c r="P129" s="27"/>
      <c r="Q129" s="28"/>
      <c r="R129" s="29"/>
      <c r="S129" s="29"/>
      <c r="T129" s="29"/>
      <c r="U129" s="30"/>
    </row>
    <row r="130" spans="1:21" ht="75">
      <c r="A130" s="144" t="s">
        <v>190</v>
      </c>
      <c r="B130" s="75" t="s">
        <v>136</v>
      </c>
      <c r="C130" s="76" t="s">
        <v>127</v>
      </c>
      <c r="D130" s="100">
        <f>63+44+547</f>
        <v>654</v>
      </c>
      <c r="E130" s="100">
        <v>654</v>
      </c>
      <c r="F130" s="100">
        <f>519+43+59</f>
        <v>621</v>
      </c>
      <c r="G130" s="79">
        <f t="shared" si="12"/>
        <v>95</v>
      </c>
      <c r="H130" s="117">
        <v>7412.4</v>
      </c>
      <c r="I130" s="117">
        <v>7412.4</v>
      </c>
      <c r="J130" s="117">
        <v>7412.4</v>
      </c>
      <c r="K130" s="145">
        <f t="shared" si="38"/>
        <v>100</v>
      </c>
      <c r="L130" s="3"/>
      <c r="M130" s="2"/>
      <c r="N130" s="27"/>
      <c r="O130" s="27"/>
      <c r="P130" s="27"/>
      <c r="Q130" s="28"/>
      <c r="R130" s="29"/>
      <c r="S130" s="29"/>
      <c r="T130" s="29"/>
      <c r="U130" s="30"/>
    </row>
    <row r="131" spans="1:21" ht="90">
      <c r="A131" s="146" t="s">
        <v>137</v>
      </c>
      <c r="B131" s="77" t="s">
        <v>138</v>
      </c>
      <c r="C131" s="77" t="s">
        <v>133</v>
      </c>
      <c r="D131" s="108">
        <v>13496</v>
      </c>
      <c r="E131" s="108">
        <v>13496</v>
      </c>
      <c r="F131" s="108">
        <v>13496</v>
      </c>
      <c r="G131" s="79">
        <f t="shared" si="12"/>
        <v>100</v>
      </c>
      <c r="H131" s="118">
        <v>1100</v>
      </c>
      <c r="I131" s="118">
        <v>2200</v>
      </c>
      <c r="J131" s="118">
        <v>2200</v>
      </c>
      <c r="K131" s="142">
        <f t="shared" si="38"/>
        <v>100</v>
      </c>
      <c r="L131" s="3"/>
      <c r="M131" s="2"/>
      <c r="N131" s="31"/>
      <c r="O131" s="31"/>
      <c r="P131" s="31"/>
      <c r="Q131" s="28"/>
      <c r="R131" s="32"/>
      <c r="S131" s="32"/>
      <c r="T131" s="32"/>
      <c r="U131" s="30"/>
    </row>
    <row r="132" spans="1:21" ht="30">
      <c r="A132" s="146" t="s">
        <v>10</v>
      </c>
      <c r="B132" s="77" t="s">
        <v>139</v>
      </c>
      <c r="C132" s="77" t="s">
        <v>133</v>
      </c>
      <c r="D132" s="108">
        <v>5000</v>
      </c>
      <c r="E132" s="108">
        <v>5000</v>
      </c>
      <c r="F132" s="108">
        <v>5645</v>
      </c>
      <c r="G132" s="79">
        <f t="shared" si="12"/>
        <v>112.9</v>
      </c>
      <c r="H132" s="118">
        <v>26038.7</v>
      </c>
      <c r="I132" s="118">
        <v>30503.1</v>
      </c>
      <c r="J132" s="118">
        <f>I132</f>
        <v>30503.1</v>
      </c>
      <c r="K132" s="142">
        <f t="shared" si="38"/>
        <v>100</v>
      </c>
      <c r="L132" s="3"/>
      <c r="M132" s="2"/>
      <c r="N132" s="31"/>
      <c r="O132" s="31"/>
      <c r="P132" s="31"/>
      <c r="Q132" s="28"/>
      <c r="R132" s="32"/>
      <c r="S132" s="32"/>
      <c r="T132" s="32"/>
      <c r="U132" s="33"/>
    </row>
    <row r="133" spans="1:21" ht="17.25">
      <c r="A133" s="143" t="s">
        <v>140</v>
      </c>
      <c r="B133" s="42" t="s">
        <v>130</v>
      </c>
      <c r="C133" s="42" t="s">
        <v>127</v>
      </c>
      <c r="D133" s="81">
        <v>17511</v>
      </c>
      <c r="E133" s="81">
        <v>17511</v>
      </c>
      <c r="F133" s="81">
        <v>24235</v>
      </c>
      <c r="G133" s="79">
        <f t="shared" si="12"/>
        <v>138.4</v>
      </c>
      <c r="H133" s="91">
        <v>5898.2</v>
      </c>
      <c r="I133" s="91">
        <v>5898.2</v>
      </c>
      <c r="J133" s="91">
        <v>5898.2</v>
      </c>
      <c r="K133" s="142">
        <f t="shared" si="38"/>
        <v>100</v>
      </c>
      <c r="L133" s="3"/>
      <c r="M133" s="2"/>
      <c r="N133" s="34"/>
      <c r="O133" s="34"/>
      <c r="P133" s="34"/>
      <c r="Q133" s="28"/>
      <c r="R133" s="35"/>
      <c r="S133" s="35"/>
      <c r="T133" s="35"/>
      <c r="U133" s="33"/>
    </row>
    <row r="134" spans="1:21" ht="30">
      <c r="A134" s="143" t="s">
        <v>193</v>
      </c>
      <c r="B134" s="42" t="s">
        <v>141</v>
      </c>
      <c r="C134" s="42" t="s">
        <v>142</v>
      </c>
      <c r="D134" s="81">
        <v>10000</v>
      </c>
      <c r="E134" s="81">
        <v>10000</v>
      </c>
      <c r="F134" s="81">
        <v>10728</v>
      </c>
      <c r="G134" s="79">
        <f t="shared" si="12"/>
        <v>107.3</v>
      </c>
      <c r="H134" s="91">
        <v>38973.199999999997</v>
      </c>
      <c r="I134" s="91">
        <v>44290.9</v>
      </c>
      <c r="J134" s="91">
        <v>44290.9</v>
      </c>
      <c r="K134" s="142">
        <f t="shared" si="38"/>
        <v>100</v>
      </c>
      <c r="L134" s="3"/>
      <c r="M134" s="2"/>
      <c r="N134" s="34"/>
      <c r="O134" s="34"/>
      <c r="P134" s="34"/>
      <c r="Q134" s="28"/>
      <c r="R134" s="35"/>
      <c r="S134" s="35"/>
      <c r="T134" s="35"/>
      <c r="U134" s="33"/>
    </row>
    <row r="135" spans="1:21" ht="45">
      <c r="A135" s="143" t="s">
        <v>194</v>
      </c>
      <c r="B135" s="63" t="s">
        <v>143</v>
      </c>
      <c r="C135" s="63" t="s">
        <v>119</v>
      </c>
      <c r="D135" s="93">
        <v>350</v>
      </c>
      <c r="E135" s="93">
        <v>350</v>
      </c>
      <c r="F135" s="93">
        <v>350</v>
      </c>
      <c r="G135" s="79">
        <f t="shared" si="12"/>
        <v>100</v>
      </c>
      <c r="H135" s="109">
        <v>14247</v>
      </c>
      <c r="I135" s="109">
        <v>14387.3</v>
      </c>
      <c r="J135" s="109">
        <v>14387.3</v>
      </c>
      <c r="K135" s="142">
        <f>J135/I135*100</f>
        <v>100</v>
      </c>
      <c r="L135" s="3"/>
      <c r="M135" s="2"/>
      <c r="N135" s="36"/>
      <c r="O135" s="36"/>
      <c r="P135" s="36"/>
      <c r="Q135" s="37"/>
      <c r="R135" s="38"/>
      <c r="S135" s="38"/>
      <c r="T135" s="38"/>
      <c r="U135" s="33"/>
    </row>
    <row r="136" spans="1:21" ht="45">
      <c r="A136" s="143" t="s">
        <v>189</v>
      </c>
      <c r="B136" s="63" t="s">
        <v>144</v>
      </c>
      <c r="C136" s="63" t="s">
        <v>133</v>
      </c>
      <c r="D136" s="93">
        <v>2500</v>
      </c>
      <c r="E136" s="93">
        <v>2500</v>
      </c>
      <c r="F136" s="93">
        <v>2418</v>
      </c>
      <c r="G136" s="79">
        <f t="shared" si="12"/>
        <v>96.7</v>
      </c>
      <c r="H136" s="109">
        <v>6194</v>
      </c>
      <c r="I136" s="109">
        <v>6194</v>
      </c>
      <c r="J136" s="109">
        <v>6194</v>
      </c>
      <c r="K136" s="142">
        <f>J136/I136*100</f>
        <v>100</v>
      </c>
      <c r="L136" s="3"/>
      <c r="M136" s="2"/>
      <c r="N136" s="36"/>
      <c r="O136" s="36"/>
      <c r="P136" s="36"/>
      <c r="Q136" s="37"/>
      <c r="R136" s="38"/>
      <c r="S136" s="38"/>
      <c r="T136" s="38"/>
      <c r="U136" s="33"/>
    </row>
    <row r="137" spans="1:21" ht="30">
      <c r="A137" s="143" t="s">
        <v>13</v>
      </c>
      <c r="B137" s="63" t="s">
        <v>80</v>
      </c>
      <c r="C137" s="63" t="s">
        <v>133</v>
      </c>
      <c r="D137" s="93">
        <v>612</v>
      </c>
      <c r="E137" s="93">
        <v>612</v>
      </c>
      <c r="F137" s="93">
        <v>612</v>
      </c>
      <c r="G137" s="79">
        <f t="shared" si="12"/>
        <v>100</v>
      </c>
      <c r="H137" s="109">
        <v>302</v>
      </c>
      <c r="I137" s="109">
        <v>302</v>
      </c>
      <c r="J137" s="109">
        <v>302</v>
      </c>
      <c r="K137" s="142">
        <f>J137/I137*100</f>
        <v>100</v>
      </c>
      <c r="L137" s="3"/>
      <c r="M137" s="2"/>
      <c r="N137" s="36"/>
      <c r="O137" s="36"/>
      <c r="P137" s="36"/>
      <c r="Q137" s="37"/>
      <c r="R137" s="38"/>
      <c r="S137" s="38"/>
      <c r="T137" s="38"/>
      <c r="U137" s="33"/>
    </row>
    <row r="138" spans="1:21" ht="30">
      <c r="A138" s="143" t="s">
        <v>13</v>
      </c>
      <c r="B138" s="63" t="s">
        <v>141</v>
      </c>
      <c r="C138" s="63" t="s">
        <v>142</v>
      </c>
      <c r="D138" s="93">
        <v>1333</v>
      </c>
      <c r="E138" s="93">
        <v>1333</v>
      </c>
      <c r="F138" s="93">
        <v>1333</v>
      </c>
      <c r="G138" s="79">
        <f t="shared" si="12"/>
        <v>100</v>
      </c>
      <c r="H138" s="109">
        <v>4334.1000000000004</v>
      </c>
      <c r="I138" s="109">
        <v>4334.1000000000004</v>
      </c>
      <c r="J138" s="109">
        <v>4334.1000000000004</v>
      </c>
      <c r="K138" s="142">
        <f t="shared" ref="K138:K143" si="39">J138/I138*100</f>
        <v>100</v>
      </c>
      <c r="L138" s="3"/>
      <c r="M138" s="2"/>
      <c r="N138" s="36"/>
      <c r="O138" s="36"/>
      <c r="P138" s="36"/>
      <c r="Q138" s="37"/>
      <c r="R138" s="38"/>
      <c r="S138" s="38"/>
      <c r="T138" s="38"/>
      <c r="U138" s="33"/>
    </row>
    <row r="139" spans="1:21" ht="45">
      <c r="A139" s="143" t="s">
        <v>12</v>
      </c>
      <c r="B139" s="63" t="s">
        <v>145</v>
      </c>
      <c r="C139" s="63" t="s">
        <v>133</v>
      </c>
      <c r="D139" s="93">
        <v>2000</v>
      </c>
      <c r="E139" s="93">
        <v>2000</v>
      </c>
      <c r="F139" s="93">
        <v>2076.6</v>
      </c>
      <c r="G139" s="79">
        <f t="shared" si="12"/>
        <v>103.8</v>
      </c>
      <c r="H139" s="109">
        <v>23506.799999999999</v>
      </c>
      <c r="I139" s="109">
        <v>32377.200000000001</v>
      </c>
      <c r="J139" s="109">
        <v>32377.200000000001</v>
      </c>
      <c r="K139" s="142">
        <f t="shared" si="39"/>
        <v>100</v>
      </c>
      <c r="L139" s="3"/>
      <c r="M139" s="2"/>
      <c r="N139" s="36"/>
      <c r="O139" s="36"/>
      <c r="P139" s="36"/>
      <c r="Q139" s="37"/>
      <c r="R139" s="38"/>
      <c r="S139" s="38"/>
      <c r="T139" s="38"/>
      <c r="U139" s="33"/>
    </row>
    <row r="140" spans="1:21" ht="30">
      <c r="A140" s="143" t="s">
        <v>146</v>
      </c>
      <c r="B140" s="63" t="s">
        <v>147</v>
      </c>
      <c r="C140" s="63" t="s">
        <v>133</v>
      </c>
      <c r="D140" s="81">
        <v>78597</v>
      </c>
      <c r="E140" s="81">
        <v>78597</v>
      </c>
      <c r="F140" s="81">
        <v>75846</v>
      </c>
      <c r="G140" s="79">
        <f t="shared" si="12"/>
        <v>96.5</v>
      </c>
      <c r="H140" s="91">
        <v>16882.8</v>
      </c>
      <c r="I140" s="91">
        <v>16882.8</v>
      </c>
      <c r="J140" s="91">
        <v>16882.8</v>
      </c>
      <c r="K140" s="142">
        <f t="shared" si="39"/>
        <v>100</v>
      </c>
      <c r="L140" s="3"/>
      <c r="M140" s="2"/>
      <c r="N140" s="34"/>
      <c r="O140" s="34"/>
      <c r="P140" s="34"/>
      <c r="Q140" s="39"/>
      <c r="R140" s="35"/>
      <c r="S140" s="35"/>
      <c r="T140" s="35"/>
      <c r="U140" s="33"/>
    </row>
    <row r="141" spans="1:21" ht="90">
      <c r="A141" s="143" t="s">
        <v>16</v>
      </c>
      <c r="B141" s="63" t="s">
        <v>148</v>
      </c>
      <c r="C141" s="63" t="s">
        <v>149</v>
      </c>
      <c r="D141" s="81">
        <v>4200</v>
      </c>
      <c r="E141" s="81">
        <v>4200</v>
      </c>
      <c r="F141" s="81">
        <v>4012</v>
      </c>
      <c r="G141" s="79">
        <f t="shared" si="12"/>
        <v>95.5</v>
      </c>
      <c r="H141" s="91">
        <v>3402.3</v>
      </c>
      <c r="I141" s="91">
        <v>6266.6</v>
      </c>
      <c r="J141" s="91">
        <v>6266.6</v>
      </c>
      <c r="K141" s="142">
        <f t="shared" si="39"/>
        <v>100</v>
      </c>
      <c r="L141" s="3"/>
      <c r="M141" s="2"/>
      <c r="N141" s="34"/>
      <c r="O141" s="34"/>
      <c r="P141" s="34"/>
      <c r="Q141" s="39"/>
      <c r="R141" s="35"/>
      <c r="S141" s="35"/>
      <c r="T141" s="35"/>
      <c r="U141" s="33"/>
    </row>
    <row r="142" spans="1:21" ht="30">
      <c r="A142" s="143" t="s">
        <v>15</v>
      </c>
      <c r="B142" s="63" t="s">
        <v>11</v>
      </c>
      <c r="C142" s="63" t="s">
        <v>133</v>
      </c>
      <c r="D142" s="93">
        <v>655</v>
      </c>
      <c r="E142" s="93">
        <v>655</v>
      </c>
      <c r="F142" s="93">
        <v>709</v>
      </c>
      <c r="G142" s="79">
        <f t="shared" si="12"/>
        <v>108.2</v>
      </c>
      <c r="H142" s="109">
        <v>1615</v>
      </c>
      <c r="I142" s="109">
        <v>1615</v>
      </c>
      <c r="J142" s="109">
        <v>1615</v>
      </c>
      <c r="K142" s="147">
        <f t="shared" si="39"/>
        <v>100</v>
      </c>
      <c r="L142" s="3"/>
      <c r="M142" s="2"/>
      <c r="N142" s="36"/>
      <c r="O142" s="36"/>
      <c r="P142" s="36"/>
      <c r="Q142" s="37"/>
      <c r="R142" s="38"/>
      <c r="S142" s="38"/>
      <c r="T142" s="38"/>
      <c r="U142" s="38"/>
    </row>
    <row r="143" spans="1:21" ht="45">
      <c r="A143" s="143" t="s">
        <v>14</v>
      </c>
      <c r="B143" s="63" t="s">
        <v>150</v>
      </c>
      <c r="C143" s="63" t="s">
        <v>122</v>
      </c>
      <c r="D143" s="93">
        <v>4000</v>
      </c>
      <c r="E143" s="93">
        <v>4000</v>
      </c>
      <c r="F143" s="93">
        <v>3800</v>
      </c>
      <c r="G143" s="79">
        <f t="shared" si="12"/>
        <v>95</v>
      </c>
      <c r="H143" s="109">
        <v>7126</v>
      </c>
      <c r="I143" s="109">
        <v>5126</v>
      </c>
      <c r="J143" s="109">
        <v>5126</v>
      </c>
      <c r="K143" s="147">
        <f t="shared" si="39"/>
        <v>100</v>
      </c>
      <c r="L143" s="3"/>
      <c r="M143" s="2"/>
      <c r="N143" s="36"/>
      <c r="O143" s="36"/>
      <c r="P143" s="36"/>
      <c r="Q143" s="37"/>
      <c r="R143" s="38"/>
      <c r="S143" s="38"/>
      <c r="T143" s="38"/>
      <c r="U143" s="36"/>
    </row>
    <row r="144" spans="1:21" ht="39.75" customHeight="1">
      <c r="A144" s="187" t="s">
        <v>74</v>
      </c>
      <c r="B144" s="189"/>
      <c r="C144" s="188"/>
      <c r="D144" s="99"/>
      <c r="E144" s="99"/>
      <c r="F144" s="99"/>
      <c r="G144" s="79"/>
      <c r="H144" s="119">
        <f>H145+H146+H147</f>
        <v>13135</v>
      </c>
      <c r="I144" s="119">
        <f t="shared" ref="I144:J144" si="40">I145+I146+I147</f>
        <v>13518.1</v>
      </c>
      <c r="J144" s="119">
        <f t="shared" si="40"/>
        <v>13473.3</v>
      </c>
      <c r="K144" s="82">
        <f t="shared" si="31"/>
        <v>99.7</v>
      </c>
      <c r="L144" s="3"/>
      <c r="M144" s="2"/>
    </row>
    <row r="145" spans="1:13" ht="45.75">
      <c r="A145" s="61" t="s">
        <v>34</v>
      </c>
      <c r="B145" s="53" t="s">
        <v>35</v>
      </c>
      <c r="C145" s="54" t="s">
        <v>36</v>
      </c>
      <c r="D145" s="80">
        <v>6401</v>
      </c>
      <c r="E145" s="80">
        <v>7000</v>
      </c>
      <c r="F145" s="80">
        <v>7276</v>
      </c>
      <c r="G145" s="79">
        <f t="shared" si="12"/>
        <v>103.9</v>
      </c>
      <c r="H145" s="120">
        <v>2859.2</v>
      </c>
      <c r="I145" s="120">
        <f>3197.5+44.8</f>
        <v>3242.3</v>
      </c>
      <c r="J145" s="120">
        <v>3197.5</v>
      </c>
      <c r="K145" s="82">
        <f t="shared" si="31"/>
        <v>98.6</v>
      </c>
      <c r="L145" s="3"/>
      <c r="M145" s="2"/>
    </row>
    <row r="146" spans="1:13" ht="60">
      <c r="A146" s="57" t="s">
        <v>81</v>
      </c>
      <c r="B146" s="54" t="s">
        <v>76</v>
      </c>
      <c r="C146" s="54" t="s">
        <v>1</v>
      </c>
      <c r="D146" s="99">
        <v>1844</v>
      </c>
      <c r="E146" s="99">
        <v>1844</v>
      </c>
      <c r="F146" s="99">
        <v>1844</v>
      </c>
      <c r="G146" s="79">
        <f t="shared" si="12"/>
        <v>100</v>
      </c>
      <c r="H146" s="121">
        <v>7707</v>
      </c>
      <c r="I146" s="121">
        <v>7707</v>
      </c>
      <c r="J146" s="121">
        <v>7707</v>
      </c>
      <c r="K146" s="82">
        <f t="shared" si="31"/>
        <v>100</v>
      </c>
      <c r="L146" s="3"/>
      <c r="M146" s="2"/>
    </row>
    <row r="147" spans="1:13" ht="60.75" thickBot="1">
      <c r="A147" s="148" t="s">
        <v>81</v>
      </c>
      <c r="B147" s="149" t="s">
        <v>41</v>
      </c>
      <c r="C147" s="78" t="s">
        <v>79</v>
      </c>
      <c r="D147" s="150">
        <v>1711</v>
      </c>
      <c r="E147" s="150">
        <v>1711</v>
      </c>
      <c r="F147" s="150">
        <v>1711</v>
      </c>
      <c r="G147" s="151">
        <f t="shared" si="12"/>
        <v>100</v>
      </c>
      <c r="H147" s="152">
        <v>2568.8000000000002</v>
      </c>
      <c r="I147" s="152">
        <v>2568.8000000000002</v>
      </c>
      <c r="J147" s="152">
        <v>2568.8000000000002</v>
      </c>
      <c r="K147" s="153">
        <f t="shared" si="31"/>
        <v>100</v>
      </c>
      <c r="L147" s="3"/>
      <c r="M147" s="2"/>
    </row>
    <row r="148" spans="1:13" ht="18" thickBot="1">
      <c r="A148" s="124" t="s">
        <v>187</v>
      </c>
      <c r="B148" s="125"/>
      <c r="C148" s="125"/>
      <c r="D148" s="126"/>
      <c r="E148" s="126"/>
      <c r="F148" s="127"/>
      <c r="G148" s="127"/>
      <c r="H148" s="128">
        <f>H144+H126+H111+H100+H74+H54+H48+H27+H7</f>
        <v>1714390.5</v>
      </c>
      <c r="I148" s="128">
        <f>I144+I126+I111+I100+I74+I54+I48+I27+I7</f>
        <v>1966499.7</v>
      </c>
      <c r="J148" s="128">
        <f>J144+J126+J111+J100+J74+J54+J48+J27+J7</f>
        <v>1962594.9</v>
      </c>
      <c r="K148" s="129">
        <f t="shared" si="31"/>
        <v>99.8</v>
      </c>
      <c r="L148" s="3"/>
      <c r="M148" s="2"/>
    </row>
    <row r="149" spans="1:13" ht="17.25">
      <c r="D149" s="4"/>
      <c r="E149" s="4"/>
      <c r="F149" s="4"/>
      <c r="G149" s="4"/>
      <c r="H149" s="4"/>
      <c r="I149" s="4"/>
      <c r="J149" s="7"/>
      <c r="K149" s="4"/>
      <c r="L149" s="3"/>
      <c r="M149" s="2"/>
    </row>
    <row r="150" spans="1:13" ht="17.25">
      <c r="D150" s="4"/>
      <c r="E150" s="4"/>
      <c r="F150" s="4"/>
      <c r="G150" s="4"/>
      <c r="H150" s="4"/>
      <c r="I150" s="4"/>
      <c r="J150" s="4"/>
      <c r="K150" s="4"/>
      <c r="L150" s="3"/>
      <c r="M150" s="2"/>
    </row>
    <row r="151" spans="1:13" ht="17.25">
      <c r="D151" s="4"/>
      <c r="E151" s="4"/>
      <c r="F151" s="4"/>
      <c r="G151" s="4"/>
      <c r="H151" s="4"/>
      <c r="I151" s="4"/>
      <c r="J151" s="4"/>
      <c r="K151" s="4"/>
      <c r="L151" s="3"/>
      <c r="M151" s="2"/>
    </row>
    <row r="152" spans="1:13" ht="17.25">
      <c r="D152" s="4"/>
      <c r="E152" s="4"/>
      <c r="F152" s="4"/>
      <c r="G152" s="4"/>
      <c r="H152" s="4"/>
      <c r="I152" s="4"/>
      <c r="J152" s="4"/>
      <c r="K152" s="4"/>
      <c r="L152" s="3"/>
      <c r="M152" s="2"/>
    </row>
    <row r="153" spans="1:13" ht="17.25">
      <c r="D153" s="4"/>
      <c r="E153" s="4"/>
      <c r="F153" s="4"/>
      <c r="G153" s="4"/>
      <c r="H153" s="4"/>
      <c r="I153" s="4"/>
      <c r="J153" s="4"/>
      <c r="K153" s="4"/>
      <c r="L153" s="3"/>
      <c r="M153" s="2"/>
    </row>
    <row r="154" spans="1:13" ht="17.25">
      <c r="D154" s="4"/>
      <c r="E154" s="4"/>
      <c r="F154" s="4"/>
      <c r="G154" s="4"/>
      <c r="H154" s="4"/>
      <c r="I154" s="4"/>
      <c r="J154" s="4"/>
      <c r="K154" s="4"/>
      <c r="L154" s="3"/>
      <c r="M154" s="2"/>
    </row>
    <row r="155" spans="1:13" ht="17.25">
      <c r="D155" s="4"/>
      <c r="E155" s="4"/>
      <c r="F155" s="4"/>
      <c r="G155" s="4"/>
      <c r="H155" s="4"/>
      <c r="I155" s="4"/>
      <c r="J155" s="4"/>
      <c r="K155" s="4"/>
      <c r="L155" s="3"/>
      <c r="M155" s="2"/>
    </row>
    <row r="156" spans="1:13" ht="17.25">
      <c r="D156" s="4"/>
      <c r="E156" s="4"/>
      <c r="F156" s="4"/>
      <c r="G156" s="4"/>
      <c r="H156" s="4"/>
      <c r="I156" s="4"/>
      <c r="J156" s="4"/>
      <c r="K156" s="4"/>
      <c r="L156" s="3"/>
      <c r="M156" s="2"/>
    </row>
    <row r="157" spans="1:13" ht="17.25">
      <c r="D157" s="4"/>
      <c r="E157" s="4"/>
      <c r="F157" s="4"/>
      <c r="G157" s="4"/>
      <c r="H157" s="4"/>
      <c r="I157" s="4"/>
      <c r="J157" s="4"/>
      <c r="K157" s="4"/>
      <c r="L157" s="3"/>
      <c r="M157" s="2"/>
    </row>
    <row r="158" spans="1:13" ht="17.25">
      <c r="D158" s="4"/>
      <c r="E158" s="4"/>
      <c r="F158" s="4"/>
      <c r="G158" s="4"/>
      <c r="H158" s="4"/>
      <c r="I158" s="4"/>
      <c r="J158" s="4"/>
      <c r="K158" s="4"/>
      <c r="L158" s="3"/>
      <c r="M158" s="2"/>
    </row>
    <row r="159" spans="1:13" ht="17.25">
      <c r="D159" s="4"/>
      <c r="E159" s="4"/>
      <c r="F159" s="4"/>
      <c r="G159" s="4"/>
      <c r="H159" s="4"/>
      <c r="I159" s="4"/>
      <c r="J159" s="4"/>
      <c r="K159" s="4"/>
      <c r="L159" s="3"/>
      <c r="M159" s="2"/>
    </row>
    <row r="160" spans="1:13" ht="17.25">
      <c r="D160" s="4"/>
      <c r="E160" s="4"/>
      <c r="F160" s="4"/>
      <c r="G160" s="4"/>
      <c r="H160" s="4"/>
      <c r="I160" s="4"/>
      <c r="J160" s="4"/>
      <c r="K160" s="4"/>
      <c r="L160" s="3"/>
      <c r="M160" s="2"/>
    </row>
    <row r="161" spans="4:13" ht="17.25">
      <c r="D161" s="4"/>
      <c r="E161" s="4"/>
      <c r="F161" s="4"/>
      <c r="G161" s="4"/>
      <c r="H161" s="4"/>
      <c r="I161" s="4"/>
      <c r="J161" s="4"/>
      <c r="K161" s="4"/>
      <c r="L161" s="3"/>
      <c r="M161" s="2"/>
    </row>
    <row r="162" spans="4:13" ht="17.25">
      <c r="D162" s="4"/>
      <c r="E162" s="4"/>
      <c r="F162" s="4"/>
      <c r="G162" s="4"/>
      <c r="H162" s="4"/>
      <c r="I162" s="4"/>
      <c r="J162" s="4"/>
      <c r="K162" s="4"/>
      <c r="L162" s="3"/>
      <c r="M162" s="2"/>
    </row>
    <row r="163" spans="4:13" ht="17.25">
      <c r="D163" s="4"/>
      <c r="E163" s="4"/>
      <c r="F163" s="4"/>
      <c r="G163" s="4"/>
      <c r="H163" s="4"/>
      <c r="I163" s="4"/>
      <c r="J163" s="4"/>
      <c r="K163" s="4"/>
      <c r="L163" s="3"/>
      <c r="M163" s="2"/>
    </row>
    <row r="164" spans="4:13" ht="17.25">
      <c r="D164" s="4"/>
      <c r="E164" s="4"/>
      <c r="F164" s="4"/>
      <c r="G164" s="4"/>
      <c r="H164" s="4"/>
      <c r="I164" s="4"/>
      <c r="J164" s="4"/>
      <c r="K164" s="4"/>
      <c r="L164" s="3"/>
      <c r="M164" s="2"/>
    </row>
    <row r="165" spans="4:13" ht="17.25">
      <c r="D165" s="4"/>
      <c r="E165" s="4"/>
      <c r="F165" s="4"/>
      <c r="G165" s="4"/>
      <c r="H165" s="4"/>
      <c r="I165" s="4"/>
      <c r="J165" s="4"/>
      <c r="K165" s="4"/>
      <c r="L165" s="3"/>
      <c r="M165" s="2"/>
    </row>
    <row r="166" spans="4:13" ht="17.25">
      <c r="D166" s="4"/>
      <c r="E166" s="4"/>
      <c r="F166" s="4"/>
      <c r="G166" s="4"/>
      <c r="H166" s="4"/>
      <c r="I166" s="4"/>
      <c r="J166" s="4"/>
      <c r="K166" s="4"/>
      <c r="L166" s="3"/>
      <c r="M166" s="2"/>
    </row>
    <row r="167" spans="4:13" ht="17.25">
      <c r="D167" s="4"/>
      <c r="E167" s="4"/>
      <c r="F167" s="4"/>
      <c r="G167" s="4"/>
      <c r="H167" s="4"/>
      <c r="I167" s="4"/>
      <c r="J167" s="4"/>
      <c r="K167" s="4"/>
      <c r="L167" s="3"/>
      <c r="M167" s="2"/>
    </row>
    <row r="168" spans="4:13" ht="17.25">
      <c r="D168" s="4"/>
      <c r="E168" s="4"/>
      <c r="F168" s="4"/>
      <c r="G168" s="4"/>
      <c r="H168" s="4"/>
      <c r="I168" s="4"/>
      <c r="J168" s="4"/>
      <c r="K168" s="4"/>
      <c r="L168" s="3"/>
      <c r="M168" s="2"/>
    </row>
    <row r="169" spans="4:13" ht="17.25">
      <c r="D169" s="4"/>
      <c r="E169" s="4"/>
      <c r="F169" s="4"/>
      <c r="G169" s="4"/>
      <c r="H169" s="4"/>
      <c r="I169" s="4"/>
      <c r="J169" s="4"/>
      <c r="K169" s="4"/>
      <c r="L169" s="3"/>
      <c r="M169" s="2"/>
    </row>
    <row r="170" spans="4:13" ht="17.25">
      <c r="D170" s="4"/>
      <c r="E170" s="4"/>
      <c r="F170" s="4"/>
      <c r="G170" s="4"/>
      <c r="H170" s="4"/>
      <c r="I170" s="4"/>
      <c r="J170" s="4"/>
      <c r="K170" s="4"/>
      <c r="L170" s="3"/>
      <c r="M170" s="2"/>
    </row>
    <row r="171" spans="4:13" ht="17.25">
      <c r="D171" s="4"/>
      <c r="E171" s="4"/>
      <c r="F171" s="4"/>
      <c r="G171" s="4"/>
      <c r="H171" s="4"/>
      <c r="I171" s="4"/>
      <c r="J171" s="4"/>
      <c r="K171" s="4"/>
      <c r="L171" s="3"/>
      <c r="M171" s="2"/>
    </row>
    <row r="172" spans="4:13" ht="17.25">
      <c r="D172" s="4"/>
      <c r="E172" s="4"/>
      <c r="F172" s="4"/>
      <c r="G172" s="4"/>
      <c r="H172" s="4"/>
      <c r="I172" s="4"/>
      <c r="J172" s="4"/>
      <c r="K172" s="4"/>
      <c r="L172" s="3"/>
      <c r="M172" s="2"/>
    </row>
    <row r="173" spans="4:13" ht="17.25">
      <c r="D173" s="4"/>
      <c r="E173" s="4"/>
      <c r="F173" s="4"/>
      <c r="G173" s="4"/>
      <c r="H173" s="4"/>
      <c r="I173" s="4"/>
      <c r="J173" s="4"/>
      <c r="K173" s="4"/>
      <c r="L173" s="3"/>
      <c r="M173" s="2"/>
    </row>
    <row r="174" spans="4:13" ht="17.25">
      <c r="D174" s="4"/>
      <c r="E174" s="4"/>
      <c r="F174" s="4"/>
      <c r="G174" s="4"/>
      <c r="H174" s="4"/>
      <c r="I174" s="4"/>
      <c r="J174" s="4"/>
      <c r="K174" s="4"/>
      <c r="L174" s="3"/>
      <c r="M174" s="2"/>
    </row>
    <row r="175" spans="4:13" ht="17.25">
      <c r="D175" s="4"/>
      <c r="E175" s="4"/>
      <c r="F175" s="4"/>
      <c r="G175" s="4"/>
      <c r="H175" s="4"/>
      <c r="I175" s="4"/>
      <c r="J175" s="4"/>
      <c r="K175" s="4"/>
      <c r="L175" s="3"/>
      <c r="M175" s="2"/>
    </row>
    <row r="176" spans="4:13" ht="17.25">
      <c r="D176" s="4"/>
      <c r="E176" s="4"/>
      <c r="F176" s="4"/>
      <c r="G176" s="4"/>
      <c r="H176" s="4"/>
      <c r="I176" s="4"/>
      <c r="J176" s="4"/>
      <c r="K176" s="4"/>
      <c r="L176" s="3"/>
      <c r="M176" s="2"/>
    </row>
    <row r="177" spans="4:13" ht="17.25">
      <c r="D177" s="4"/>
      <c r="E177" s="4"/>
      <c r="F177" s="4"/>
      <c r="G177" s="4"/>
      <c r="H177" s="4"/>
      <c r="I177" s="4"/>
      <c r="J177" s="4"/>
      <c r="K177" s="4"/>
      <c r="L177" s="3"/>
      <c r="M177" s="2"/>
    </row>
    <row r="178" spans="4:13" ht="17.25">
      <c r="D178" s="4"/>
      <c r="E178" s="4"/>
      <c r="F178" s="4"/>
      <c r="G178" s="4"/>
      <c r="H178" s="4"/>
      <c r="I178" s="4"/>
      <c r="J178" s="4"/>
      <c r="K178" s="4"/>
      <c r="L178" s="3"/>
      <c r="M178" s="2"/>
    </row>
    <row r="179" spans="4:13" ht="17.25">
      <c r="D179" s="4"/>
      <c r="E179" s="4"/>
      <c r="F179" s="4"/>
      <c r="G179" s="4"/>
      <c r="H179" s="4"/>
      <c r="I179" s="4"/>
      <c r="J179" s="4"/>
      <c r="K179" s="4"/>
      <c r="L179" s="3"/>
      <c r="M179" s="2"/>
    </row>
    <row r="180" spans="4:13" ht="17.25">
      <c r="D180" s="4"/>
      <c r="E180" s="4"/>
      <c r="F180" s="4"/>
      <c r="G180" s="4"/>
      <c r="H180" s="4"/>
      <c r="I180" s="4"/>
      <c r="J180" s="4"/>
      <c r="K180" s="4"/>
      <c r="L180" s="3"/>
      <c r="M180" s="2"/>
    </row>
    <row r="181" spans="4:13" ht="17.25">
      <c r="D181" s="4"/>
      <c r="E181" s="4"/>
      <c r="F181" s="4"/>
      <c r="G181" s="4"/>
      <c r="H181" s="4"/>
      <c r="I181" s="4"/>
      <c r="J181" s="4"/>
      <c r="K181" s="4"/>
      <c r="L181" s="3"/>
      <c r="M181" s="2"/>
    </row>
    <row r="182" spans="4:13" ht="17.25">
      <c r="D182" s="4"/>
      <c r="E182" s="4"/>
      <c r="F182" s="4"/>
      <c r="G182" s="4"/>
      <c r="H182" s="4"/>
      <c r="I182" s="4"/>
      <c r="J182" s="4"/>
      <c r="K182" s="4"/>
      <c r="L182" s="3"/>
      <c r="M182" s="2"/>
    </row>
    <row r="183" spans="4:13" ht="17.25">
      <c r="D183" s="4"/>
      <c r="E183" s="4"/>
      <c r="F183" s="4"/>
      <c r="G183" s="4"/>
      <c r="H183" s="4"/>
      <c r="I183" s="4"/>
      <c r="J183" s="4"/>
      <c r="K183" s="4"/>
      <c r="L183" s="3"/>
      <c r="M183" s="2"/>
    </row>
    <row r="184" spans="4:13" ht="17.25">
      <c r="D184" s="4"/>
      <c r="E184" s="4"/>
      <c r="F184" s="4"/>
      <c r="G184" s="4"/>
      <c r="H184" s="4"/>
      <c r="I184" s="4"/>
      <c r="J184" s="4"/>
      <c r="K184" s="4"/>
      <c r="L184" s="3"/>
      <c r="M184" s="2"/>
    </row>
    <row r="185" spans="4:13" ht="17.25">
      <c r="D185" s="4"/>
      <c r="E185" s="4"/>
      <c r="F185" s="4"/>
      <c r="G185" s="4"/>
      <c r="H185" s="4"/>
      <c r="I185" s="4"/>
      <c r="J185" s="4"/>
      <c r="K185" s="4"/>
      <c r="L185" s="3"/>
      <c r="M185" s="2"/>
    </row>
    <row r="186" spans="4:13" ht="17.25">
      <c r="D186" s="4"/>
      <c r="E186" s="4"/>
      <c r="F186" s="4"/>
      <c r="G186" s="4"/>
      <c r="H186" s="4"/>
      <c r="I186" s="4"/>
      <c r="J186" s="4"/>
      <c r="K186" s="4"/>
      <c r="L186" s="3"/>
      <c r="M186" s="2"/>
    </row>
    <row r="187" spans="4:13" ht="17.25">
      <c r="D187" s="4"/>
      <c r="E187" s="4"/>
      <c r="F187" s="4"/>
      <c r="G187" s="4"/>
      <c r="H187" s="4"/>
      <c r="I187" s="4"/>
      <c r="J187" s="4"/>
      <c r="K187" s="4"/>
      <c r="L187" s="3"/>
      <c r="M187" s="2"/>
    </row>
    <row r="188" spans="4:13" ht="17.25">
      <c r="D188" s="4"/>
      <c r="E188" s="4"/>
      <c r="F188" s="4"/>
      <c r="G188" s="4"/>
      <c r="H188" s="4"/>
      <c r="I188" s="4"/>
      <c r="J188" s="4"/>
      <c r="K188" s="4"/>
      <c r="L188" s="3"/>
      <c r="M188" s="2"/>
    </row>
    <row r="189" spans="4:13" ht="17.25">
      <c r="D189" s="4"/>
      <c r="E189" s="4"/>
      <c r="F189" s="4"/>
      <c r="G189" s="4"/>
      <c r="H189" s="4"/>
      <c r="I189" s="4"/>
      <c r="J189" s="4"/>
      <c r="K189" s="4"/>
      <c r="L189" s="3"/>
      <c r="M189" s="2"/>
    </row>
    <row r="190" spans="4:13" ht="17.25">
      <c r="D190" s="4"/>
      <c r="E190" s="4"/>
      <c r="F190" s="4"/>
      <c r="G190" s="4"/>
      <c r="H190" s="4"/>
      <c r="I190" s="4"/>
      <c r="J190" s="4"/>
      <c r="K190" s="4"/>
      <c r="L190" s="3"/>
      <c r="M190" s="2"/>
    </row>
    <row r="191" spans="4:13" ht="17.25">
      <c r="D191" s="4"/>
      <c r="E191" s="4"/>
      <c r="F191" s="4"/>
      <c r="G191" s="4"/>
      <c r="H191" s="4"/>
      <c r="I191" s="4"/>
      <c r="J191" s="4"/>
      <c r="K191" s="4"/>
      <c r="L191" s="3"/>
      <c r="M191" s="2"/>
    </row>
    <row r="192" spans="4:13" ht="17.25">
      <c r="D192" s="4"/>
      <c r="E192" s="4"/>
      <c r="F192" s="4"/>
      <c r="G192" s="4"/>
      <c r="H192" s="4"/>
      <c r="I192" s="4"/>
      <c r="J192" s="4"/>
      <c r="K192" s="4"/>
      <c r="L192" s="3"/>
      <c r="M192" s="2"/>
    </row>
    <row r="193" spans="4:13" ht="17.25">
      <c r="D193" s="4"/>
      <c r="E193" s="4"/>
      <c r="F193" s="4"/>
      <c r="G193" s="4"/>
      <c r="H193" s="4"/>
      <c r="I193" s="4"/>
      <c r="J193" s="4"/>
      <c r="K193" s="4"/>
      <c r="L193" s="3"/>
      <c r="M193" s="2"/>
    </row>
    <row r="194" spans="4:13">
      <c r="L194" s="2"/>
      <c r="M194" s="2"/>
    </row>
    <row r="195" spans="4:13">
      <c r="L195" s="2"/>
      <c r="M195" s="2"/>
    </row>
    <row r="196" spans="4:13">
      <c r="L196" s="2"/>
      <c r="M196" s="2"/>
    </row>
    <row r="197" spans="4:13">
      <c r="L197" s="2"/>
      <c r="M197" s="2"/>
    </row>
    <row r="198" spans="4:13">
      <c r="L198" s="2"/>
      <c r="M198" s="2"/>
    </row>
    <row r="199" spans="4:13">
      <c r="L199" s="2"/>
      <c r="M199" s="2"/>
    </row>
    <row r="200" spans="4:13">
      <c r="L200" s="2"/>
      <c r="M200" s="2"/>
    </row>
    <row r="201" spans="4:13">
      <c r="L201" s="2"/>
      <c r="M201" s="2"/>
    </row>
  </sheetData>
  <mergeCells count="41">
    <mergeCell ref="H109:H110"/>
    <mergeCell ref="I109:I110"/>
    <mergeCell ref="J109:J110"/>
    <mergeCell ref="A2:K2"/>
    <mergeCell ref="H5:K5"/>
    <mergeCell ref="A3:K3"/>
    <mergeCell ref="A5:A6"/>
    <mergeCell ref="B5:B6"/>
    <mergeCell ref="C5:C6"/>
    <mergeCell ref="D5:G5"/>
    <mergeCell ref="K44:K45"/>
    <mergeCell ref="I46:I47"/>
    <mergeCell ref="J46:J47"/>
    <mergeCell ref="H46:H47"/>
    <mergeCell ref="K46:K47"/>
    <mergeCell ref="K38:K39"/>
    <mergeCell ref="K40:K41"/>
    <mergeCell ref="K42:K43"/>
    <mergeCell ref="H33:H34"/>
    <mergeCell ref="I33:I34"/>
    <mergeCell ref="J33:J34"/>
    <mergeCell ref="K33:K34"/>
    <mergeCell ref="H36:H37"/>
    <mergeCell ref="I36:I37"/>
    <mergeCell ref="J36:J37"/>
    <mergeCell ref="K36:K37"/>
    <mergeCell ref="A7:B7"/>
    <mergeCell ref="A74:B74"/>
    <mergeCell ref="A144:C144"/>
    <mergeCell ref="A111:C111"/>
    <mergeCell ref="A100:B100"/>
    <mergeCell ref="A64:A68"/>
    <mergeCell ref="A33:A34"/>
    <mergeCell ref="A36:A37"/>
    <mergeCell ref="A46:A47"/>
    <mergeCell ref="A60:A63"/>
    <mergeCell ref="A55:A59"/>
    <mergeCell ref="A70:A71"/>
    <mergeCell ref="A54:B54"/>
    <mergeCell ref="A48:B48"/>
    <mergeCell ref="A27:B27"/>
  </mergeCells>
  <pageMargins left="0.36" right="0.15748031496062992" top="0.15748031496062992" bottom="0.23" header="0.31496062992125984" footer="0.22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angilina</dc:creator>
  <cp:lastModifiedBy>Сумачакова</cp:lastModifiedBy>
  <cp:lastPrinted>2018-04-27T09:26:17Z</cp:lastPrinted>
  <dcterms:created xsi:type="dcterms:W3CDTF">2015-12-09T05:09:14Z</dcterms:created>
  <dcterms:modified xsi:type="dcterms:W3CDTF">2019-05-17T02:07:58Z</dcterms:modified>
</cp:coreProperties>
</file>