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7660" windowHeight="11385"/>
  </bookViews>
  <sheets>
    <sheet name="2018" sheetId="1" r:id="rId1"/>
    <sheet name="Лист1" sheetId="2" r:id="rId2"/>
  </sheets>
  <definedNames>
    <definedName name="_xlnm.Print_Area" localSheetId="0">'2018'!$A$3:$T$25</definedName>
    <definedName name="_xlnm.Print_Area" localSheetId="1">Лист1!$A$27:$T$41</definedName>
  </definedNames>
  <calcPr calcId="125725"/>
</workbook>
</file>

<file path=xl/calcChain.xml><?xml version="1.0" encoding="utf-8"?>
<calcChain xmlns="http://schemas.openxmlformats.org/spreadsheetml/2006/main">
  <c r="Y10" i="1"/>
  <c r="U10"/>
  <c r="U16"/>
  <c r="U17" s="1"/>
  <c r="Q16"/>
  <c r="Q17" s="1"/>
  <c r="Y15"/>
  <c r="Y16" s="1"/>
  <c r="Y17" s="1"/>
  <c r="U15"/>
  <c r="Q15"/>
  <c r="W14"/>
  <c r="W13"/>
  <c r="W11"/>
  <c r="V10"/>
  <c r="S14"/>
  <c r="S13"/>
  <c r="S11"/>
  <c r="R10"/>
  <c r="O14"/>
  <c r="O13"/>
  <c r="O11"/>
  <c r="N10"/>
  <c r="K13"/>
  <c r="K10" s="1"/>
  <c r="K12"/>
  <c r="J12"/>
  <c r="J13"/>
  <c r="J10"/>
  <c r="W10" l="1"/>
  <c r="S10"/>
  <c r="O10"/>
  <c r="E10" l="1"/>
  <c r="C16"/>
  <c r="B16"/>
  <c r="E16"/>
  <c r="E17" s="1"/>
  <c r="E14"/>
  <c r="G14"/>
  <c r="G13"/>
  <c r="G11"/>
  <c r="M16"/>
  <c r="M17" s="1"/>
  <c r="I16"/>
  <c r="I17" s="1"/>
  <c r="G34" i="2"/>
  <c r="G28" s="1"/>
  <c r="G35"/>
  <c r="F32"/>
  <c r="F29"/>
  <c r="E29"/>
  <c r="F38"/>
  <c r="E38"/>
  <c r="F37"/>
  <c r="E37"/>
  <c r="E32"/>
  <c r="C29"/>
  <c r="C41"/>
  <c r="F40"/>
  <c r="F39"/>
  <c r="F36"/>
  <c r="F35"/>
  <c r="F34"/>
  <c r="F33"/>
  <c r="F31"/>
  <c r="F30"/>
  <c r="E40"/>
  <c r="E39"/>
  <c r="E36"/>
  <c r="E34"/>
  <c r="E33"/>
  <c r="E31"/>
  <c r="E30"/>
  <c r="E35"/>
  <c r="D35"/>
  <c r="D33"/>
  <c r="D32"/>
  <c r="D38"/>
  <c r="D29"/>
  <c r="D41"/>
  <c r="D40"/>
  <c r="D39"/>
  <c r="D37"/>
  <c r="D36"/>
  <c r="D34"/>
  <c r="D31"/>
  <c r="D30"/>
  <c r="D21"/>
  <c r="D20"/>
  <c r="D19"/>
  <c r="D18"/>
  <c r="D17"/>
  <c r="D16"/>
  <c r="D15"/>
  <c r="D14"/>
  <c r="D13"/>
  <c r="D12"/>
  <c r="D11"/>
  <c r="D10"/>
  <c r="D9"/>
  <c r="D8"/>
  <c r="H28" l="1"/>
  <c r="F28"/>
  <c r="E28"/>
  <c r="D28"/>
  <c r="I28" l="1"/>
  <c r="J28"/>
  <c r="C28" l="1"/>
  <c r="C30"/>
  <c r="C31"/>
  <c r="C32"/>
  <c r="C33"/>
  <c r="C34"/>
  <c r="C35"/>
  <c r="C36"/>
  <c r="C37"/>
  <c r="C38"/>
  <c r="C39"/>
  <c r="C40"/>
  <c r="D7"/>
  <c r="X16" i="1"/>
  <c r="X17" s="1"/>
  <c r="W16"/>
  <c r="W17" s="1"/>
  <c r="V16"/>
  <c r="V17" s="1"/>
  <c r="C17" l="1"/>
  <c r="B17"/>
  <c r="L16"/>
  <c r="L17" s="1"/>
  <c r="K16"/>
  <c r="K17" s="1"/>
  <c r="J16"/>
  <c r="J17" s="1"/>
  <c r="D16"/>
  <c r="D17" s="1"/>
  <c r="T16" l="1"/>
  <c r="S16"/>
  <c r="P16"/>
  <c r="O16"/>
  <c r="O17" s="1"/>
  <c r="H16"/>
  <c r="G16"/>
  <c r="F16"/>
  <c r="T17" l="1"/>
  <c r="S17"/>
  <c r="P17"/>
  <c r="H17"/>
  <c r="G17"/>
  <c r="F17"/>
  <c r="R16"/>
  <c r="R17" s="1"/>
  <c r="N16" l="1"/>
  <c r="N17" s="1"/>
  <c r="L28" i="2"/>
  <c r="K28"/>
  <c r="N28" l="1"/>
  <c r="M28"/>
  <c r="O28" l="1"/>
  <c r="P28" l="1"/>
  <c r="Q28" l="1"/>
  <c r="R28" l="1"/>
  <c r="S28" l="1"/>
  <c r="T28"/>
</calcChain>
</file>

<file path=xl/sharedStrings.xml><?xml version="1.0" encoding="utf-8"?>
<sst xmlns="http://schemas.openxmlformats.org/spreadsheetml/2006/main" count="46" uniqueCount="26">
  <si>
    <t>тыс.руб.</t>
  </si>
  <si>
    <t>Наименование показателя</t>
  </si>
  <si>
    <t>2019 год</t>
  </si>
  <si>
    <t>2020 год</t>
  </si>
  <si>
    <t>Консолидированный бюджет</t>
  </si>
  <si>
    <t>Республиканский бюджет</t>
  </si>
  <si>
    <t>Свод бюджетов муниципальных образований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</si>
  <si>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</si>
  <si>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</si>
  <si>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</si>
  <si>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</si>
  <si>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 xml:space="preserve">2017 год  исполнено </t>
  </si>
  <si>
    <t>Бюджет территориального  фонда обязательного  медицинского  страхования</t>
  </si>
  <si>
    <t>в том числе:</t>
  </si>
  <si>
    <t>2018 год на 01.10.2018</t>
  </si>
  <si>
    <t>2018 год  оценка</t>
  </si>
  <si>
    <t>2021 год</t>
  </si>
  <si>
    <t>Безвозмездные поступления от других бюджетов бюджетной системы Российской Федерации</t>
  </si>
  <si>
    <t>Дотации</t>
  </si>
  <si>
    <t>Субсидии, в т.ч.</t>
  </si>
  <si>
    <t>Субвенции</t>
  </si>
  <si>
    <t>Иные межбюджетные трансферты</t>
  </si>
  <si>
    <t>2018 оценка</t>
  </si>
  <si>
    <t>план</t>
  </si>
  <si>
    <t>Рб</t>
  </si>
  <si>
    <t>Прогноз основных характеристик консолидированного бюджета Республики Алтай, бюджета Республики Алтай, свода бюджетов муниципальных образований в Республике Алтай и бюджета территориального фонда обязательного медицинского страхования на 2019 год и на плановый период 2020 и 2021 годов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</si>
</sst>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-* #,##0.0\ _₽_-;\-* #,##0.0\ _₽_-;_-* &quot;-&quot;?\ _₽_-;_-@_-"/>
    <numFmt numFmtId="168" formatCode="#,##0.0\ _₽"/>
    <numFmt numFmtId="169" formatCode="0.0"/>
  </numFmts>
  <fonts count="18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 Cyr"/>
    </font>
    <font>
      <b/>
      <sz val="9"/>
      <color rgb="FF000000"/>
      <name val="Arial Cyr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4" fontId="8" fillId="0" borderId="5">
      <alignment horizontal="right" vertical="center" shrinkToFit="1"/>
    </xf>
    <xf numFmtId="4" fontId="9" fillId="0" borderId="5">
      <alignment horizontal="right" vertical="center" shrinkToFit="1"/>
    </xf>
    <xf numFmtId="164" fontId="1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66" fontId="0" fillId="0" borderId="1" xfId="0" applyNumberFormat="1" applyBorder="1"/>
    <xf numFmtId="0" fontId="4" fillId="0" borderId="1" xfId="0" applyFont="1" applyBorder="1" applyAlignment="1">
      <alignment wrapText="1"/>
    </xf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164" fontId="6" fillId="0" borderId="0" xfId="1" applyFont="1" applyBorder="1"/>
    <xf numFmtId="167" fontId="0" fillId="0" borderId="0" xfId="0" applyNumberFormat="1"/>
    <xf numFmtId="0" fontId="0" fillId="0" borderId="1" xfId="0" applyBorder="1"/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166" fontId="0" fillId="0" borderId="0" xfId="0" applyNumberFormat="1"/>
    <xf numFmtId="4" fontId="0" fillId="0" borderId="0" xfId="0" applyNumberFormat="1"/>
    <xf numFmtId="168" fontId="3" fillId="2" borderId="1" xfId="0" applyNumberFormat="1" applyFont="1" applyFill="1" applyBorder="1" applyAlignment="1">
      <alignment horizontal="center"/>
    </xf>
    <xf numFmtId="166" fontId="12" fillId="0" borderId="1" xfId="0" applyNumberFormat="1" applyFont="1" applyBorder="1"/>
    <xf numFmtId="4" fontId="12" fillId="0" borderId="1" xfId="0" applyNumberFormat="1" applyFont="1" applyBorder="1"/>
    <xf numFmtId="4" fontId="0" fillId="0" borderId="1" xfId="0" applyNumberFormat="1" applyBorder="1"/>
    <xf numFmtId="0" fontId="0" fillId="0" borderId="6" xfId="0" applyFill="1" applyBorder="1"/>
    <xf numFmtId="169" fontId="0" fillId="0" borderId="1" xfId="0" applyNumberFormat="1" applyBorder="1"/>
    <xf numFmtId="168" fontId="13" fillId="0" borderId="1" xfId="6" applyNumberFormat="1" applyFont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66" fontId="15" fillId="0" borderId="1" xfId="5" applyNumberFormat="1" applyFont="1" applyBorder="1" applyAlignment="1" applyProtection="1">
      <alignment horizontal="right" vertical="center" shrinkToFit="1"/>
    </xf>
    <xf numFmtId="166" fontId="16" fillId="0" borderId="1" xfId="5" applyNumberFormat="1" applyFont="1" applyBorder="1" applyAlignment="1" applyProtection="1">
      <alignment horizontal="right" vertical="center" shrinkToFit="1"/>
    </xf>
    <xf numFmtId="3" fontId="16" fillId="0" borderId="1" xfId="5" applyNumberFormat="1" applyFont="1" applyBorder="1" applyAlignment="1" applyProtection="1">
      <alignment horizontal="right" vertical="center" shrinkToFit="1"/>
    </xf>
    <xf numFmtId="165" fontId="17" fillId="0" borderId="1" xfId="1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66" fontId="16" fillId="0" borderId="1" xfId="4" applyNumberFormat="1" applyFont="1" applyBorder="1" applyAlignment="1" applyProtection="1">
      <alignment horizontal="right" vertical="center" shrinkToFit="1"/>
    </xf>
    <xf numFmtId="165" fontId="14" fillId="0" borderId="1" xfId="1" applyNumberFormat="1" applyFont="1" applyBorder="1" applyAlignment="1">
      <alignment horizontal="right" vertical="center"/>
    </xf>
    <xf numFmtId="0" fontId="3" fillId="0" borderId="1" xfId="0" applyFont="1" applyBorder="1"/>
    <xf numFmtId="165" fontId="13" fillId="0" borderId="1" xfId="1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/>
    <xf numFmtId="169" fontId="1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right" vertical="center"/>
    </xf>
    <xf numFmtId="165" fontId="14" fillId="2" borderId="1" xfId="1" applyNumberFormat="1" applyFont="1" applyFill="1" applyBorder="1" applyAlignment="1">
      <alignment horizontal="right" vertical="center"/>
    </xf>
    <xf numFmtId="165" fontId="17" fillId="2" borderId="1" xfId="1" applyNumberFormat="1" applyFont="1" applyFill="1" applyBorder="1" applyAlignment="1">
      <alignment horizontal="right" vertical="center"/>
    </xf>
    <xf numFmtId="0" fontId="0" fillId="2" borderId="0" xfId="0" applyFill="1"/>
    <xf numFmtId="165" fontId="0" fillId="2" borderId="0" xfId="1" applyNumberFormat="1" applyFont="1" applyFill="1"/>
    <xf numFmtId="167" fontId="0" fillId="2" borderId="0" xfId="0" applyNumberFormat="1" applyFill="1"/>
    <xf numFmtId="0" fontId="0" fillId="2" borderId="0" xfId="0" applyFill="1" applyBorder="1"/>
    <xf numFmtId="165" fontId="0" fillId="2" borderId="0" xfId="1" applyNumberFormat="1" applyFont="1" applyFill="1" applyBorder="1"/>
    <xf numFmtId="164" fontId="6" fillId="2" borderId="0" xfId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xl31" xfId="5"/>
    <cellStyle name="xl40" xfId="4"/>
    <cellStyle name="Обычный" xfId="0" builtinId="0"/>
    <cellStyle name="Обычный 29" xfId="2"/>
    <cellStyle name="Обычный 31" xfId="3"/>
    <cellStyle name="Финансовый" xfId="1" builtinId="3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8"/>
  <sheetViews>
    <sheetView tabSelected="1" zoomScale="80" zoomScaleNormal="80" workbookViewId="0">
      <selection activeCell="A3" sqref="A3:T3"/>
    </sheetView>
  </sheetViews>
  <sheetFormatPr defaultRowHeight="12.75"/>
  <cols>
    <col min="1" max="1" width="33.7109375" customWidth="1"/>
    <col min="2" max="2" width="15.42578125" customWidth="1"/>
    <col min="3" max="3" width="14" customWidth="1"/>
    <col min="4" max="4" width="14.42578125" customWidth="1"/>
    <col min="5" max="5" width="15.85546875" customWidth="1"/>
    <col min="6" max="6" width="15.28515625" style="55" customWidth="1"/>
    <col min="7" max="7" width="18.7109375" style="55" customWidth="1"/>
    <col min="8" max="8" width="22.7109375" style="55" customWidth="1"/>
    <col min="9" max="9" width="16.7109375" style="55" customWidth="1"/>
    <col min="10" max="25" width="19.7109375" customWidth="1"/>
  </cols>
  <sheetData>
    <row r="3" spans="1:25" ht="57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ht="15.75">
      <c r="A4" s="1"/>
      <c r="B4" s="1"/>
      <c r="C4" s="1"/>
      <c r="D4" s="1"/>
      <c r="E4" s="1"/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ht="15.75">
      <c r="A5" s="1"/>
      <c r="B5" s="1"/>
      <c r="C5" s="1"/>
      <c r="D5" s="1"/>
      <c r="E5" s="1"/>
      <c r="F5" s="48"/>
      <c r="G5" s="48"/>
      <c r="H5" s="48"/>
      <c r="I5" s="48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0</v>
      </c>
    </row>
    <row r="6" spans="1:25" ht="15.75">
      <c r="A6" s="2" t="s">
        <v>1</v>
      </c>
      <c r="B6" s="43" t="s">
        <v>11</v>
      </c>
      <c r="C6" s="44"/>
      <c r="D6" s="44"/>
      <c r="E6" s="45"/>
      <c r="F6" s="49" t="s">
        <v>14</v>
      </c>
      <c r="G6" s="50"/>
      <c r="H6" s="50"/>
      <c r="I6" s="51"/>
      <c r="J6" s="43" t="s">
        <v>15</v>
      </c>
      <c r="K6" s="44"/>
      <c r="L6" s="44"/>
      <c r="M6" s="45"/>
      <c r="N6" s="43" t="s">
        <v>2</v>
      </c>
      <c r="O6" s="44"/>
      <c r="P6" s="44"/>
      <c r="Q6" s="45"/>
      <c r="R6" s="47" t="s">
        <v>3</v>
      </c>
      <c r="S6" s="47"/>
      <c r="T6" s="47"/>
      <c r="U6" s="47"/>
      <c r="V6" s="43" t="s">
        <v>16</v>
      </c>
      <c r="W6" s="44"/>
      <c r="X6" s="44"/>
      <c r="Y6" s="45"/>
    </row>
    <row r="7" spans="1:25" ht="113.25" customHeight="1">
      <c r="A7" s="61"/>
      <c r="B7" s="61" t="s">
        <v>4</v>
      </c>
      <c r="C7" s="61" t="s">
        <v>5</v>
      </c>
      <c r="D7" s="61" t="s">
        <v>6</v>
      </c>
      <c r="E7" s="61" t="s">
        <v>12</v>
      </c>
      <c r="F7" s="62" t="s">
        <v>4</v>
      </c>
      <c r="G7" s="62" t="s">
        <v>5</v>
      </c>
      <c r="H7" s="62" t="s">
        <v>6</v>
      </c>
      <c r="I7" s="62" t="s">
        <v>12</v>
      </c>
      <c r="J7" s="61" t="s">
        <v>4</v>
      </c>
      <c r="K7" s="61" t="s">
        <v>5</v>
      </c>
      <c r="L7" s="61" t="s">
        <v>6</v>
      </c>
      <c r="M7" s="61" t="s">
        <v>12</v>
      </c>
      <c r="N7" s="61" t="s">
        <v>4</v>
      </c>
      <c r="O7" s="61" t="s">
        <v>5</v>
      </c>
      <c r="P7" s="61" t="s">
        <v>6</v>
      </c>
      <c r="Q7" s="61" t="s">
        <v>12</v>
      </c>
      <c r="R7" s="61" t="s">
        <v>4</v>
      </c>
      <c r="S7" s="61" t="s">
        <v>5</v>
      </c>
      <c r="T7" s="61" t="s">
        <v>6</v>
      </c>
      <c r="U7" s="61" t="s">
        <v>12</v>
      </c>
      <c r="V7" s="61" t="s">
        <v>4</v>
      </c>
      <c r="W7" s="61" t="s">
        <v>5</v>
      </c>
      <c r="X7" s="61" t="s">
        <v>6</v>
      </c>
      <c r="Y7" s="61" t="s">
        <v>12</v>
      </c>
    </row>
    <row r="8" spans="1:25" s="41" customFormat="1" ht="15.75">
      <c r="A8" s="36" t="s">
        <v>7</v>
      </c>
      <c r="B8" s="24">
        <v>17578395.800000001</v>
      </c>
      <c r="C8" s="24">
        <v>15513221.200000001</v>
      </c>
      <c r="D8" s="37">
        <v>8408145.4000000004</v>
      </c>
      <c r="E8" s="37">
        <v>3531547.3</v>
      </c>
      <c r="F8" s="52">
        <v>14867700</v>
      </c>
      <c r="G8" s="52">
        <v>13307691.4</v>
      </c>
      <c r="H8" s="52">
        <v>6701556.2000000002</v>
      </c>
      <c r="I8" s="52">
        <v>3189291.2</v>
      </c>
      <c r="J8" s="37">
        <v>21097764.300000001</v>
      </c>
      <c r="K8" s="37">
        <v>18822800.5</v>
      </c>
      <c r="L8" s="37">
        <v>9409357.3000000007</v>
      </c>
      <c r="M8" s="37">
        <v>4228237.8</v>
      </c>
      <c r="N8" s="37">
        <v>19883423.899999999</v>
      </c>
      <c r="O8" s="37">
        <v>17581490.300000001</v>
      </c>
      <c r="P8" s="37">
        <v>8300085.7999999998</v>
      </c>
      <c r="Q8" s="37">
        <v>4660965.5</v>
      </c>
      <c r="R8" s="38">
        <v>17951271.300000001</v>
      </c>
      <c r="S8" s="39">
        <v>15570774.4</v>
      </c>
      <c r="T8" s="37">
        <v>7629073.5</v>
      </c>
      <c r="U8" s="42">
        <v>4996282</v>
      </c>
      <c r="V8" s="37">
        <v>19387821.699999999</v>
      </c>
      <c r="W8" s="37">
        <v>16871931</v>
      </c>
      <c r="X8" s="37">
        <v>7380473.7000000002</v>
      </c>
      <c r="Y8" s="37">
        <v>5324483</v>
      </c>
    </row>
    <row r="9" spans="1:25" ht="15.75">
      <c r="A9" s="3" t="s">
        <v>13</v>
      </c>
      <c r="B9" s="25"/>
      <c r="C9" s="25"/>
      <c r="D9" s="25"/>
      <c r="E9" s="25"/>
      <c r="F9" s="53"/>
      <c r="G9" s="53"/>
      <c r="H9" s="53"/>
      <c r="I9" s="53"/>
      <c r="J9" s="25"/>
      <c r="K9" s="25"/>
      <c r="L9" s="25"/>
      <c r="M9" s="25"/>
      <c r="N9" s="25"/>
      <c r="O9" s="25"/>
      <c r="P9" s="25"/>
      <c r="Q9" s="25"/>
      <c r="R9" s="26"/>
      <c r="S9" s="27"/>
      <c r="T9" s="25"/>
      <c r="U9" s="28"/>
      <c r="V9" s="25"/>
      <c r="W9" s="25"/>
      <c r="X9" s="25"/>
      <c r="Y9" s="25"/>
    </row>
    <row r="10" spans="1:25" ht="47.25">
      <c r="A10" s="12" t="s">
        <v>17</v>
      </c>
      <c r="B10" s="29">
        <v>12107404.4</v>
      </c>
      <c r="C10" s="29">
        <v>12107404.4</v>
      </c>
      <c r="D10" s="25"/>
      <c r="E10" s="25">
        <f>E13+E14</f>
        <v>3522263.2</v>
      </c>
      <c r="F10" s="53">
        <v>10373884.5</v>
      </c>
      <c r="G10" s="53">
        <v>10397497.1</v>
      </c>
      <c r="H10" s="53"/>
      <c r="I10" s="53">
        <v>3153665.8</v>
      </c>
      <c r="J10" s="25">
        <f>14525205.8+146286.9</f>
        <v>14671492.700000001</v>
      </c>
      <c r="K10" s="25">
        <f>K11+K12+K13+K14</f>
        <v>14702976.199999999</v>
      </c>
      <c r="L10" s="25"/>
      <c r="M10" s="25">
        <v>4204879.9000000004</v>
      </c>
      <c r="N10" s="25">
        <f t="shared" ref="N10:O10" si="0">N11+N12+N13+N14</f>
        <v>13478050.1</v>
      </c>
      <c r="O10" s="25">
        <f t="shared" si="0"/>
        <v>13478050.1</v>
      </c>
      <c r="P10" s="25"/>
      <c r="Q10" s="25">
        <v>4643465.5</v>
      </c>
      <c r="R10" s="25">
        <f t="shared" ref="R10" si="1">R11+R12+R13+R14</f>
        <v>11325604</v>
      </c>
      <c r="S10" s="25">
        <f t="shared" ref="S10:U10" si="2">S11+S12+S13+S14</f>
        <v>12231973.699999999</v>
      </c>
      <c r="T10" s="25"/>
      <c r="U10" s="25">
        <f t="shared" si="2"/>
        <v>4996282</v>
      </c>
      <c r="V10" s="25">
        <f t="shared" ref="V10" si="3">V11+V12+V13+V14</f>
        <v>12029009.699999999</v>
      </c>
      <c r="W10" s="25">
        <f t="shared" ref="W10:Y10" si="4">W11+W12+W13+W14</f>
        <v>12739911.199999999</v>
      </c>
      <c r="X10" s="25"/>
      <c r="Y10" s="25">
        <f t="shared" si="4"/>
        <v>5324483</v>
      </c>
    </row>
    <row r="11" spans="1:25" s="14" customFormat="1" ht="15.75">
      <c r="A11" s="13" t="s">
        <v>18</v>
      </c>
      <c r="B11" s="30">
        <v>9660574.5999999996</v>
      </c>
      <c r="C11" s="31">
        <v>9660574.5999999996</v>
      </c>
      <c r="D11" s="32"/>
      <c r="E11" s="32"/>
      <c r="F11" s="54">
        <v>7745048.7999999998</v>
      </c>
      <c r="G11" s="54">
        <f>F11</f>
        <v>7745048.7999999998</v>
      </c>
      <c r="H11" s="54"/>
      <c r="I11" s="54"/>
      <c r="J11" s="32">
        <v>10171058.4</v>
      </c>
      <c r="K11" s="32">
        <v>10171058.4</v>
      </c>
      <c r="L11" s="32"/>
      <c r="M11" s="32"/>
      <c r="N11" s="32">
        <v>9868362</v>
      </c>
      <c r="O11" s="32">
        <f>N11</f>
        <v>9868362</v>
      </c>
      <c r="P11" s="32"/>
      <c r="Q11" s="32"/>
      <c r="R11" s="32">
        <v>8617019</v>
      </c>
      <c r="S11" s="32">
        <f>R11</f>
        <v>8617019</v>
      </c>
      <c r="T11" s="32"/>
      <c r="U11" s="33"/>
      <c r="V11" s="32">
        <v>9106684.5</v>
      </c>
      <c r="W11" s="32">
        <f>V11</f>
        <v>9106684.5</v>
      </c>
      <c r="X11" s="32"/>
      <c r="Y11" s="32"/>
    </row>
    <row r="12" spans="1:25" s="14" customFormat="1" ht="15.75">
      <c r="A12" s="13" t="s">
        <v>19</v>
      </c>
      <c r="B12" s="34">
        <v>1193926.2</v>
      </c>
      <c r="C12" s="34">
        <v>1193926.2</v>
      </c>
      <c r="D12" s="32"/>
      <c r="E12" s="32"/>
      <c r="F12" s="54">
        <v>1669167.7</v>
      </c>
      <c r="G12" s="54">
        <v>1692780.4</v>
      </c>
      <c r="H12" s="54"/>
      <c r="I12" s="54"/>
      <c r="J12" s="32">
        <f>2499661.6+134900</f>
        <v>2634561.6</v>
      </c>
      <c r="K12" s="32">
        <f>2531145.1+134900</f>
        <v>2666045.1</v>
      </c>
      <c r="L12" s="32"/>
      <c r="M12" s="32"/>
      <c r="N12" s="32">
        <v>2395789.1</v>
      </c>
      <c r="O12" s="32">
        <v>2395789.1</v>
      </c>
      <c r="P12" s="32"/>
      <c r="Q12" s="32"/>
      <c r="R12" s="32">
        <v>1489419.4</v>
      </c>
      <c r="S12" s="32">
        <v>2395789.1</v>
      </c>
      <c r="T12" s="32"/>
      <c r="U12" s="33"/>
      <c r="V12" s="32">
        <v>1684887.6</v>
      </c>
      <c r="W12" s="32">
        <v>2395789.1</v>
      </c>
      <c r="X12" s="32"/>
      <c r="Y12" s="32"/>
    </row>
    <row r="13" spans="1:25" s="14" customFormat="1" ht="15.75">
      <c r="A13" s="13" t="s">
        <v>20</v>
      </c>
      <c r="B13" s="34">
        <v>1016864.8</v>
      </c>
      <c r="C13" s="34">
        <v>1016864.8</v>
      </c>
      <c r="D13" s="32"/>
      <c r="E13" s="32">
        <v>3408913.2</v>
      </c>
      <c r="F13" s="54">
        <v>793093.8</v>
      </c>
      <c r="G13" s="54">
        <f t="shared" ref="G13:G14" si="5">F13</f>
        <v>793093.8</v>
      </c>
      <c r="H13" s="54"/>
      <c r="I13" s="54">
        <v>3089909.7</v>
      </c>
      <c r="J13" s="32">
        <f>1077320.8+11386.9</f>
        <v>1088707.7</v>
      </c>
      <c r="K13" s="32">
        <f>J13</f>
        <v>1088707.7</v>
      </c>
      <c r="L13" s="32"/>
      <c r="M13" s="32">
        <v>4119879.9</v>
      </c>
      <c r="N13" s="32">
        <v>1097694</v>
      </c>
      <c r="O13" s="32">
        <f>N13</f>
        <v>1097694</v>
      </c>
      <c r="P13" s="32"/>
      <c r="Q13" s="32">
        <v>4556065.5</v>
      </c>
      <c r="R13" s="32">
        <v>1102940.6000000001</v>
      </c>
      <c r="S13" s="32">
        <f>R13</f>
        <v>1102940.6000000001</v>
      </c>
      <c r="T13" s="32"/>
      <c r="U13" s="33">
        <v>4902282</v>
      </c>
      <c r="V13" s="32">
        <v>1121212.6000000001</v>
      </c>
      <c r="W13" s="32">
        <f>V13</f>
        <v>1121212.6000000001</v>
      </c>
      <c r="X13" s="32"/>
      <c r="Y13" s="32">
        <v>5224483</v>
      </c>
    </row>
    <row r="14" spans="1:25" s="14" customFormat="1" ht="31.5">
      <c r="A14" s="13" t="s">
        <v>21</v>
      </c>
      <c r="B14" s="34">
        <v>236038.8</v>
      </c>
      <c r="C14" s="34">
        <v>236038.8</v>
      </c>
      <c r="D14" s="32"/>
      <c r="E14" s="32">
        <f>29089.3+84260.7</f>
        <v>113350</v>
      </c>
      <c r="F14" s="54">
        <v>166574.20000000001</v>
      </c>
      <c r="G14" s="54">
        <f t="shared" si="5"/>
        <v>166574.20000000001</v>
      </c>
      <c r="H14" s="54"/>
      <c r="I14" s="54">
        <v>63756.1</v>
      </c>
      <c r="J14" s="32">
        <v>777165</v>
      </c>
      <c r="K14" s="32">
        <v>777165</v>
      </c>
      <c r="L14" s="32"/>
      <c r="M14" s="32">
        <v>85000</v>
      </c>
      <c r="N14" s="32">
        <v>116205</v>
      </c>
      <c r="O14" s="32">
        <f>N14</f>
        <v>116205</v>
      </c>
      <c r="P14" s="32"/>
      <c r="Q14" s="32">
        <v>87400</v>
      </c>
      <c r="R14" s="32">
        <v>116225</v>
      </c>
      <c r="S14" s="32">
        <f>R14</f>
        <v>116225</v>
      </c>
      <c r="T14" s="32"/>
      <c r="U14" s="33">
        <v>94000</v>
      </c>
      <c r="V14" s="32">
        <v>116225</v>
      </c>
      <c r="W14" s="32">
        <f>V14</f>
        <v>116225</v>
      </c>
      <c r="X14" s="32"/>
      <c r="Y14" s="32">
        <v>100000</v>
      </c>
    </row>
    <row r="15" spans="1:25" s="41" customFormat="1" ht="15.75">
      <c r="A15" s="36" t="s">
        <v>8</v>
      </c>
      <c r="B15" s="23">
        <v>17148620.899999999</v>
      </c>
      <c r="C15" s="23">
        <v>15249571.800000001</v>
      </c>
      <c r="D15" s="37">
        <v>8242019.9000000004</v>
      </c>
      <c r="E15" s="37">
        <v>3528497.6</v>
      </c>
      <c r="F15" s="52">
        <v>14241608</v>
      </c>
      <c r="G15" s="52">
        <v>12968968</v>
      </c>
      <c r="H15" s="52">
        <v>6414196.2999999998</v>
      </c>
      <c r="I15" s="52">
        <v>2846675.3</v>
      </c>
      <c r="J15" s="37">
        <v>21435135.300000001</v>
      </c>
      <c r="K15" s="37">
        <v>19162359.100000001</v>
      </c>
      <c r="L15" s="37">
        <v>9407169.6999999993</v>
      </c>
      <c r="M15" s="37">
        <v>4243764.9000000004</v>
      </c>
      <c r="N15" s="37">
        <v>19898825.300000001</v>
      </c>
      <c r="O15" s="37">
        <v>17600070.300000001</v>
      </c>
      <c r="P15" s="37">
        <v>8296907.2000000002</v>
      </c>
      <c r="Q15" s="37">
        <f>Q8</f>
        <v>4660965.5</v>
      </c>
      <c r="R15" s="38">
        <v>17925249.800000001</v>
      </c>
      <c r="S15" s="39">
        <v>15543274.4</v>
      </c>
      <c r="T15" s="37">
        <v>7630552</v>
      </c>
      <c r="U15" s="40">
        <f>U8</f>
        <v>4996282</v>
      </c>
      <c r="V15" s="37">
        <v>19296321.699999999</v>
      </c>
      <c r="W15" s="37">
        <v>16786631</v>
      </c>
      <c r="X15" s="37">
        <v>7374273.7000000002</v>
      </c>
      <c r="Y15" s="37">
        <f>Y8</f>
        <v>5324483</v>
      </c>
    </row>
    <row r="16" spans="1:25" ht="15.75">
      <c r="A16" s="3" t="s">
        <v>9</v>
      </c>
      <c r="B16" s="35">
        <f t="shared" ref="B16:C16" si="6">B15-B8</f>
        <v>-429774.90000000224</v>
      </c>
      <c r="C16" s="35">
        <f t="shared" si="6"/>
        <v>-263649.40000000037</v>
      </c>
      <c r="D16" s="35">
        <f>D15-D8</f>
        <v>-166125.5</v>
      </c>
      <c r="E16" s="35">
        <f>E15-E8</f>
        <v>-3049.6999999997206</v>
      </c>
      <c r="F16" s="53">
        <f t="shared" ref="F16:Q16" si="7">F8-F15</f>
        <v>626092</v>
      </c>
      <c r="G16" s="53">
        <f t="shared" si="7"/>
        <v>338723.40000000037</v>
      </c>
      <c r="H16" s="53">
        <f t="shared" si="7"/>
        <v>287359.90000000037</v>
      </c>
      <c r="I16" s="53">
        <f t="shared" si="7"/>
        <v>342615.90000000037</v>
      </c>
      <c r="J16" s="35">
        <f t="shared" si="7"/>
        <v>-337371</v>
      </c>
      <c r="K16" s="35">
        <f t="shared" si="7"/>
        <v>-339558.60000000149</v>
      </c>
      <c r="L16" s="35">
        <f t="shared" si="7"/>
        <v>2187.6000000014901</v>
      </c>
      <c r="M16" s="35">
        <f t="shared" si="7"/>
        <v>-15527.100000000559</v>
      </c>
      <c r="N16" s="35">
        <f t="shared" si="7"/>
        <v>-15401.400000002235</v>
      </c>
      <c r="O16" s="35">
        <f t="shared" si="7"/>
        <v>-18580</v>
      </c>
      <c r="P16" s="35">
        <f t="shared" si="7"/>
        <v>3178.5999999996275</v>
      </c>
      <c r="Q16" s="35">
        <f t="shared" si="7"/>
        <v>0</v>
      </c>
      <c r="R16" s="35">
        <f>R8-R15</f>
        <v>26021.5</v>
      </c>
      <c r="S16" s="35">
        <f>S8-S15</f>
        <v>27500</v>
      </c>
      <c r="T16" s="35">
        <f>T8-T15</f>
        <v>-1478.5</v>
      </c>
      <c r="U16" s="35">
        <f t="shared" ref="U16" si="8">U8-U15</f>
        <v>0</v>
      </c>
      <c r="V16" s="35">
        <f>V8-V15</f>
        <v>91500</v>
      </c>
      <c r="W16" s="35">
        <f>W8-W15</f>
        <v>85300</v>
      </c>
      <c r="X16" s="35">
        <f>X8-X15</f>
        <v>6200</v>
      </c>
      <c r="Y16" s="35">
        <f t="shared" ref="Y16" si="9">Y8-Y15</f>
        <v>0</v>
      </c>
    </row>
    <row r="17" spans="1:25" ht="31.5">
      <c r="A17" s="5" t="s">
        <v>10</v>
      </c>
      <c r="B17" s="35">
        <f t="shared" ref="B17:D17" si="10">-B16</f>
        <v>429774.90000000224</v>
      </c>
      <c r="C17" s="35">
        <f t="shared" si="10"/>
        <v>263649.40000000037</v>
      </c>
      <c r="D17" s="35">
        <f t="shared" si="10"/>
        <v>166125.5</v>
      </c>
      <c r="E17" s="35">
        <f t="shared" ref="E17" si="11">-E16</f>
        <v>3049.6999999997206</v>
      </c>
      <c r="F17" s="53">
        <f t="shared" ref="F17:M17" si="12">-F16</f>
        <v>-626092</v>
      </c>
      <c r="G17" s="53">
        <f t="shared" si="12"/>
        <v>-338723.40000000037</v>
      </c>
      <c r="H17" s="53">
        <f t="shared" si="12"/>
        <v>-287359.90000000037</v>
      </c>
      <c r="I17" s="53">
        <f t="shared" si="12"/>
        <v>-342615.90000000037</v>
      </c>
      <c r="J17" s="35">
        <f t="shared" si="12"/>
        <v>337371</v>
      </c>
      <c r="K17" s="35">
        <f t="shared" si="12"/>
        <v>339558.60000000149</v>
      </c>
      <c r="L17" s="35">
        <f t="shared" si="12"/>
        <v>-2187.6000000014901</v>
      </c>
      <c r="M17" s="35">
        <f t="shared" si="12"/>
        <v>15527.100000000559</v>
      </c>
      <c r="N17" s="35">
        <f t="shared" ref="N17:T17" si="13">-N16</f>
        <v>15401.400000002235</v>
      </c>
      <c r="O17" s="35">
        <f t="shared" ref="O17" si="14">-O16</f>
        <v>18580</v>
      </c>
      <c r="P17" s="35">
        <f t="shared" si="13"/>
        <v>-3178.5999999996275</v>
      </c>
      <c r="Q17" s="35">
        <f t="shared" ref="Q17" si="15">-Q16</f>
        <v>0</v>
      </c>
      <c r="R17" s="35">
        <f t="shared" si="13"/>
        <v>-26021.5</v>
      </c>
      <c r="S17" s="35">
        <f t="shared" si="13"/>
        <v>-27500</v>
      </c>
      <c r="T17" s="35">
        <f t="shared" si="13"/>
        <v>1478.5</v>
      </c>
      <c r="U17" s="35">
        <f t="shared" ref="U17" si="16">-U16</f>
        <v>0</v>
      </c>
      <c r="V17" s="35">
        <f t="shared" ref="V17:Y17" si="17">-V16</f>
        <v>-91500</v>
      </c>
      <c r="W17" s="35">
        <f t="shared" si="17"/>
        <v>-85300</v>
      </c>
      <c r="X17" s="35">
        <f t="shared" si="17"/>
        <v>-6200</v>
      </c>
      <c r="Y17" s="35">
        <f t="shared" si="17"/>
        <v>0</v>
      </c>
    </row>
    <row r="19" spans="1:25">
      <c r="H19" s="56"/>
      <c r="I19" s="5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5">
      <c r="C20" s="10"/>
      <c r="D20" s="10"/>
      <c r="E20" s="10"/>
      <c r="G20" s="57"/>
      <c r="H20" s="57"/>
      <c r="I20" s="57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5">
      <c r="C21" s="10"/>
      <c r="D21" s="10"/>
      <c r="E21" s="10"/>
      <c r="G21" s="57"/>
      <c r="H21" s="57"/>
      <c r="I21" s="57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25">
      <c r="H22" s="56"/>
      <c r="I22" s="5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25">
      <c r="A23" s="7"/>
      <c r="B23" s="7"/>
      <c r="C23" s="7"/>
      <c r="D23" s="7"/>
      <c r="E23" s="7"/>
      <c r="F23" s="58"/>
      <c r="G23" s="58"/>
      <c r="H23" s="59"/>
      <c r="I23" s="59"/>
      <c r="J23" s="8"/>
      <c r="K23" s="8"/>
      <c r="L23" s="8"/>
      <c r="M23" s="8"/>
      <c r="N23" s="8"/>
      <c r="O23" s="8"/>
      <c r="P23" s="6"/>
      <c r="Q23" s="6"/>
      <c r="R23" s="6"/>
      <c r="S23" s="6"/>
    </row>
    <row r="24" spans="1:25" ht="15">
      <c r="A24" s="7"/>
      <c r="B24" s="7"/>
      <c r="C24" s="7"/>
      <c r="D24" s="7"/>
      <c r="E24" s="7"/>
      <c r="F24" s="60"/>
      <c r="G24" s="60"/>
      <c r="H24" s="60"/>
      <c r="I24" s="60"/>
      <c r="J24" s="9"/>
      <c r="K24" s="9"/>
      <c r="L24" s="9"/>
      <c r="M24" s="9"/>
      <c r="N24" s="8"/>
      <c r="O24" s="8"/>
      <c r="P24" s="6"/>
      <c r="Q24" s="6"/>
      <c r="R24" s="6"/>
      <c r="S24" s="6"/>
    </row>
    <row r="25" spans="1:25" ht="15">
      <c r="A25" s="7"/>
      <c r="B25" s="7"/>
      <c r="C25" s="7"/>
      <c r="D25" s="7"/>
      <c r="E25" s="7"/>
      <c r="F25" s="60"/>
      <c r="G25" s="60"/>
      <c r="H25" s="60"/>
      <c r="I25" s="60"/>
      <c r="J25" s="9"/>
      <c r="K25" s="9"/>
      <c r="L25" s="9"/>
      <c r="M25" s="9"/>
      <c r="N25" s="8"/>
      <c r="O25" s="8"/>
      <c r="P25" s="6"/>
      <c r="Q25" s="6"/>
      <c r="R25" s="6"/>
      <c r="S25" s="6"/>
    </row>
    <row r="26" spans="1:25" ht="15">
      <c r="A26" s="7"/>
      <c r="B26" s="7"/>
      <c r="C26" s="7"/>
      <c r="D26" s="7"/>
      <c r="E26" s="7"/>
      <c r="F26" s="60"/>
      <c r="G26" s="60"/>
      <c r="H26" s="60"/>
      <c r="I26" s="60"/>
      <c r="J26" s="9"/>
      <c r="K26" s="9"/>
      <c r="L26" s="9"/>
      <c r="M26" s="9"/>
      <c r="N26" s="8"/>
      <c r="O26" s="8"/>
      <c r="P26" s="6"/>
      <c r="Q26" s="6"/>
      <c r="R26" s="6"/>
      <c r="S26" s="6"/>
    </row>
    <row r="27" spans="1:25" ht="15">
      <c r="A27" s="7"/>
      <c r="B27" s="7"/>
      <c r="C27" s="7"/>
      <c r="D27" s="7"/>
      <c r="E27" s="7"/>
      <c r="F27" s="60"/>
      <c r="G27" s="60"/>
      <c r="H27" s="60"/>
      <c r="I27" s="60"/>
      <c r="J27" s="9"/>
      <c r="K27" s="9"/>
      <c r="L27" s="9"/>
      <c r="M27" s="9"/>
      <c r="N27" s="7"/>
      <c r="O27" s="7"/>
    </row>
    <row r="28" spans="1:25">
      <c r="A28" s="7"/>
      <c r="B28" s="7"/>
      <c r="C28" s="7"/>
      <c r="D28" s="7"/>
      <c r="E28" s="7"/>
      <c r="F28" s="58"/>
      <c r="G28" s="58"/>
      <c r="H28" s="58"/>
      <c r="I28" s="58"/>
      <c r="J28" s="7"/>
      <c r="K28" s="7"/>
      <c r="L28" s="7"/>
      <c r="M28" s="7"/>
      <c r="N28" s="7"/>
      <c r="O28" s="7"/>
    </row>
  </sheetData>
  <mergeCells count="7">
    <mergeCell ref="V6:Y6"/>
    <mergeCell ref="A3:T3"/>
    <mergeCell ref="B6:E6"/>
    <mergeCell ref="F6:I6"/>
    <mergeCell ref="J6:M6"/>
    <mergeCell ref="N6:Q6"/>
    <mergeCell ref="R6:U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42"/>
  <sheetViews>
    <sheetView workbookViewId="0">
      <selection activeCell="A27" sqref="A27:T41"/>
    </sheetView>
  </sheetViews>
  <sheetFormatPr defaultRowHeight="12.75"/>
  <cols>
    <col min="1" max="1" width="5.5703125" customWidth="1"/>
    <col min="2" max="2" width="12.140625" customWidth="1"/>
    <col min="3" max="3" width="13.28515625" customWidth="1"/>
    <col min="4" max="4" width="14.5703125" customWidth="1"/>
    <col min="5" max="5" width="12.85546875" customWidth="1"/>
    <col min="6" max="6" width="12.42578125" customWidth="1"/>
    <col min="7" max="7" width="12.5703125" customWidth="1"/>
    <col min="8" max="8" width="12.85546875" customWidth="1"/>
    <col min="9" max="9" width="12.140625" customWidth="1"/>
    <col min="10" max="10" width="11.42578125" customWidth="1"/>
    <col min="11" max="15" width="11.7109375" bestFit="1" customWidth="1"/>
    <col min="16" max="16" width="12.85546875" customWidth="1"/>
    <col min="17" max="17" width="12.5703125" customWidth="1"/>
    <col min="18" max="18" width="13" customWidth="1"/>
    <col min="19" max="19" width="13.28515625" customWidth="1"/>
    <col min="20" max="20" width="13.5703125" customWidth="1"/>
  </cols>
  <sheetData>
    <row r="5" spans="1:9">
      <c r="D5">
        <v>1000</v>
      </c>
      <c r="F5">
        <v>2019</v>
      </c>
      <c r="G5">
        <v>2020</v>
      </c>
      <c r="H5">
        <v>2021</v>
      </c>
    </row>
    <row r="6" spans="1:9">
      <c r="F6" t="s">
        <v>24</v>
      </c>
    </row>
    <row r="7" spans="1:9" ht="15.75">
      <c r="A7">
        <v>9600</v>
      </c>
      <c r="B7" s="15">
        <v>21913065.114990003</v>
      </c>
      <c r="C7" s="15">
        <v>19526450.656970002</v>
      </c>
      <c r="D7" s="15">
        <f>(B7-C7)/1000</f>
        <v>2386.6144580200016</v>
      </c>
      <c r="F7" s="17"/>
      <c r="G7" s="17"/>
      <c r="H7" s="17"/>
      <c r="I7" s="17"/>
    </row>
    <row r="8" spans="1:9" ht="15.75">
      <c r="A8">
        <v>100</v>
      </c>
      <c r="B8" s="15">
        <v>1681668.9698599998</v>
      </c>
      <c r="C8" s="15">
        <v>908047.68949999998</v>
      </c>
      <c r="D8" s="15">
        <f>(B8-C8)</f>
        <v>773621.28035999986</v>
      </c>
      <c r="F8" s="17">
        <v>1087441.7</v>
      </c>
      <c r="G8" s="17">
        <v>853967</v>
      </c>
      <c r="H8" s="17">
        <v>838233.5</v>
      </c>
    </row>
    <row r="9" spans="1:9" ht="15.75">
      <c r="A9">
        <v>200</v>
      </c>
      <c r="B9" s="15">
        <v>11654.6</v>
      </c>
      <c r="C9" s="15">
        <v>11467.6</v>
      </c>
      <c r="D9" s="15">
        <f t="shared" ref="D9:D21" si="0">(B9-C9)</f>
        <v>187</v>
      </c>
      <c r="F9" s="17">
        <v>12542.4</v>
      </c>
      <c r="G9" s="17">
        <v>12542.5</v>
      </c>
      <c r="H9" s="17">
        <v>12542.5</v>
      </c>
    </row>
    <row r="10" spans="1:9" ht="15.75">
      <c r="A10">
        <v>300</v>
      </c>
      <c r="B10" s="15">
        <v>454607.54739999998</v>
      </c>
      <c r="C10" s="15">
        <v>360995.93526</v>
      </c>
      <c r="D10" s="15">
        <f t="shared" si="0"/>
        <v>93611.612139999983</v>
      </c>
      <c r="F10" s="17">
        <v>201810.1</v>
      </c>
      <c r="G10" s="17">
        <v>180067.8</v>
      </c>
      <c r="H10" s="17">
        <v>180067.8</v>
      </c>
    </row>
    <row r="11" spans="1:9" ht="15.75">
      <c r="A11">
        <v>400</v>
      </c>
      <c r="B11" s="15">
        <v>3678828.8899099999</v>
      </c>
      <c r="C11" s="15">
        <v>3295674.8442299999</v>
      </c>
      <c r="D11" s="15">
        <f t="shared" si="0"/>
        <v>383154.04567999998</v>
      </c>
      <c r="F11" s="17">
        <v>3333008.8</v>
      </c>
      <c r="G11" s="17">
        <v>3235890.7</v>
      </c>
      <c r="H11" s="17">
        <v>4018926.8000000003</v>
      </c>
    </row>
    <row r="12" spans="1:9" ht="15.75">
      <c r="A12">
        <v>500</v>
      </c>
      <c r="B12" s="15">
        <v>1407041.2101700001</v>
      </c>
      <c r="C12" s="15">
        <v>920422.90078999999</v>
      </c>
      <c r="D12" s="15">
        <f t="shared" si="0"/>
        <v>486618.30938000011</v>
      </c>
      <c r="F12" s="17">
        <v>989355.30000000016</v>
      </c>
      <c r="G12" s="17">
        <v>242648.1</v>
      </c>
      <c r="H12" s="17">
        <v>237917.9</v>
      </c>
    </row>
    <row r="13" spans="1:9" ht="15.75">
      <c r="A13">
        <v>600</v>
      </c>
      <c r="B13" s="15">
        <v>59478.89357</v>
      </c>
      <c r="C13" s="15">
        <v>58678.89357</v>
      </c>
      <c r="D13" s="15">
        <f t="shared" si="0"/>
        <v>800</v>
      </c>
      <c r="F13" s="17">
        <v>45987.8</v>
      </c>
      <c r="G13" s="17">
        <v>61991.199999999997</v>
      </c>
      <c r="H13" s="17">
        <v>43525.3</v>
      </c>
    </row>
    <row r="14" spans="1:9" ht="15.75">
      <c r="A14">
        <v>700</v>
      </c>
      <c r="B14" s="15">
        <v>7093852.4963999996</v>
      </c>
      <c r="C14" s="15">
        <v>4621394.8041599998</v>
      </c>
      <c r="D14" s="15">
        <f t="shared" si="0"/>
        <v>2472457.6922399998</v>
      </c>
      <c r="F14" s="17">
        <v>4997991.5999999996</v>
      </c>
      <c r="G14" s="17">
        <v>4841613.3999999985</v>
      </c>
      <c r="H14" s="17">
        <v>4645421.4999999991</v>
      </c>
    </row>
    <row r="15" spans="1:9" ht="15.75">
      <c r="A15">
        <v>800</v>
      </c>
      <c r="B15" s="15">
        <v>925603.31448000006</v>
      </c>
      <c r="C15" s="15">
        <v>476968.59362</v>
      </c>
      <c r="D15" s="15">
        <f t="shared" si="0"/>
        <v>448634.72086000006</v>
      </c>
      <c r="F15" s="17">
        <v>266296.5</v>
      </c>
      <c r="G15" s="17">
        <v>208024</v>
      </c>
      <c r="H15" s="17">
        <v>206972.3</v>
      </c>
    </row>
    <row r="16" spans="1:9" ht="15.75">
      <c r="A16">
        <v>900</v>
      </c>
      <c r="B16" s="15">
        <v>2151057.2178799999</v>
      </c>
      <c r="C16" s="15">
        <v>2150757.2178799999</v>
      </c>
      <c r="D16" s="15">
        <f t="shared" si="0"/>
        <v>300</v>
      </c>
      <c r="F16" s="17">
        <v>1125352.8999999999</v>
      </c>
      <c r="G16" s="17">
        <v>636547.70000000007</v>
      </c>
      <c r="H16" s="17">
        <v>605081.80000000005</v>
      </c>
    </row>
    <row r="17" spans="1:20" ht="15.75">
      <c r="A17">
        <v>1000</v>
      </c>
      <c r="B17" s="15">
        <v>3774807.12439</v>
      </c>
      <c r="C17" s="15">
        <v>3750842.7329600002</v>
      </c>
      <c r="D17" s="15">
        <f t="shared" si="0"/>
        <v>23964.391429999843</v>
      </c>
      <c r="F17" s="17">
        <v>3816895.8000000003</v>
      </c>
      <c r="G17" s="17">
        <v>3268337.6</v>
      </c>
      <c r="H17" s="17">
        <v>3623522.3</v>
      </c>
    </row>
    <row r="18" spans="1:20" ht="15.75">
      <c r="A18">
        <v>1100</v>
      </c>
      <c r="B18" s="15">
        <v>555270.38545000006</v>
      </c>
      <c r="C18" s="15">
        <v>438668.32299999997</v>
      </c>
      <c r="D18" s="15">
        <f t="shared" si="0"/>
        <v>116602.06245000008</v>
      </c>
      <c r="F18" s="17">
        <v>93968.400000000009</v>
      </c>
      <c r="G18" s="17">
        <v>48508.800000000003</v>
      </c>
      <c r="H18" s="17">
        <v>42683.899999999994</v>
      </c>
    </row>
    <row r="19" spans="1:20" ht="15.75">
      <c r="A19">
        <v>1200</v>
      </c>
      <c r="B19" s="15">
        <v>48108.325600000004</v>
      </c>
      <c r="C19" s="15">
        <v>25016.485000000001</v>
      </c>
      <c r="D19" s="15">
        <f t="shared" si="0"/>
        <v>23091.840600000003</v>
      </c>
      <c r="F19" s="17">
        <v>19331.599999999999</v>
      </c>
      <c r="G19" s="17">
        <v>16331.6</v>
      </c>
      <c r="H19" s="17">
        <v>16331.6</v>
      </c>
    </row>
    <row r="20" spans="1:20" ht="15.75">
      <c r="A20">
        <v>1300</v>
      </c>
      <c r="B20" s="15">
        <v>71086.139880000002</v>
      </c>
      <c r="C20" s="15">
        <v>5986.6</v>
      </c>
      <c r="D20" s="15">
        <f t="shared" si="0"/>
        <v>65099.539880000004</v>
      </c>
      <c r="F20" s="17">
        <v>14972.2</v>
      </c>
      <c r="G20" s="17">
        <v>20821.599999999999</v>
      </c>
      <c r="H20" s="17">
        <v>27073.3</v>
      </c>
    </row>
    <row r="21" spans="1:20" ht="15.75">
      <c r="A21">
        <v>1400</v>
      </c>
      <c r="B21" s="15">
        <v>0</v>
      </c>
      <c r="C21" s="15">
        <v>2501528.037</v>
      </c>
      <c r="D21" s="15">
        <f t="shared" si="0"/>
        <v>-2501528.037</v>
      </c>
      <c r="F21" s="17">
        <v>1595115.2</v>
      </c>
      <c r="G21" s="17">
        <v>1595115.2</v>
      </c>
      <c r="H21" s="17">
        <v>1595115.2</v>
      </c>
    </row>
    <row r="22" spans="1:20">
      <c r="A22">
        <v>7900</v>
      </c>
      <c r="B22" s="15">
        <v>-1436914.9329200001</v>
      </c>
      <c r="C22" s="15">
        <v>-1131862.0776500001</v>
      </c>
      <c r="D22">
        <v>0</v>
      </c>
    </row>
    <row r="23" spans="1:20">
      <c r="B23" s="15"/>
      <c r="C23" s="15"/>
    </row>
    <row r="25" spans="1:20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7" spans="1:20">
      <c r="A27" s="11"/>
      <c r="B27" s="11" t="s">
        <v>23</v>
      </c>
      <c r="C27" s="11" t="s">
        <v>22</v>
      </c>
      <c r="D27" s="11">
        <v>2019</v>
      </c>
      <c r="E27" s="11">
        <v>2020</v>
      </c>
      <c r="F27" s="11">
        <v>2021</v>
      </c>
      <c r="G27" s="11">
        <v>2022</v>
      </c>
      <c r="H27" s="21">
        <v>2023</v>
      </c>
      <c r="I27" s="21">
        <v>2024</v>
      </c>
      <c r="J27" s="21">
        <v>2025</v>
      </c>
      <c r="K27" s="21">
        <v>2026</v>
      </c>
      <c r="L27" s="21">
        <v>2027</v>
      </c>
      <c r="M27" s="21">
        <v>2028</v>
      </c>
      <c r="N27" s="21">
        <v>2029</v>
      </c>
      <c r="O27" s="21">
        <v>2030</v>
      </c>
      <c r="P27" s="21">
        <v>2031</v>
      </c>
      <c r="Q27" s="21">
        <v>2032</v>
      </c>
      <c r="R27" s="21">
        <v>2033</v>
      </c>
      <c r="S27" s="21">
        <v>2034</v>
      </c>
    </row>
    <row r="28" spans="1:20">
      <c r="A28" s="11">
        <v>9600</v>
      </c>
      <c r="B28" s="18">
        <v>21913065.114990003</v>
      </c>
      <c r="C28" s="19">
        <f>SUM(C29:C41)</f>
        <v>21435140.049781829</v>
      </c>
      <c r="D28" s="19">
        <f t="shared" ref="D28:G28" si="1">SUM(D29:D41)</f>
        <v>19898829.995020002</v>
      </c>
      <c r="E28" s="19">
        <f t="shared" si="1"/>
        <v>17924597.784691397</v>
      </c>
      <c r="F28" s="19">
        <f t="shared" si="1"/>
        <v>19295016.014242802</v>
      </c>
      <c r="G28" s="19">
        <f t="shared" si="1"/>
        <v>19506756.014242802</v>
      </c>
      <c r="H28" s="19">
        <f t="shared" ref="H28" si="2">SUM(H29:H41)</f>
        <v>19775039.794314012</v>
      </c>
      <c r="I28" s="18">
        <f t="shared" ref="I28" si="3">SUM(I29:I41)</f>
        <v>20060400.593285579</v>
      </c>
      <c r="J28" s="18">
        <f t="shared" ref="J28" si="4">SUM(J29:J41)</f>
        <v>20488409.646252003</v>
      </c>
      <c r="K28" s="18">
        <f t="shared" ref="K28" si="5">SUM(K29:K41)</f>
        <v>20809529.752856478</v>
      </c>
      <c r="L28" s="18">
        <f t="shared" ref="L28" si="6">SUM(L29:L41)</f>
        <v>21151619.445785139</v>
      </c>
      <c r="M28" s="18">
        <f t="shared" ref="M28" si="7">SUM(M29:M41)</f>
        <v>21516170.2623608</v>
      </c>
      <c r="N28" s="18">
        <f t="shared" ref="N28" si="8">SUM(N29:N41)</f>
        <v>21904780.278222758</v>
      </c>
      <c r="O28" s="18">
        <f t="shared" ref="O28" si="9">SUM(O29:O41)</f>
        <v>22319190.029751193</v>
      </c>
      <c r="P28" s="18">
        <f t="shared" ref="P28" si="10">SUM(P29:P41)</f>
        <v>22761280.00048136</v>
      </c>
      <c r="Q28" s="18">
        <f t="shared" ref="Q28" si="11">SUM(Q29:Q41)</f>
        <v>23233109.935383737</v>
      </c>
      <c r="R28" s="18">
        <f t="shared" ref="R28" si="12">SUM(R29:R41)</f>
        <v>23736899.451812681</v>
      </c>
      <c r="S28" s="18">
        <f t="shared" ref="S28:T28" si="13">SUM(S29:S41)</f>
        <v>24275050.043551154</v>
      </c>
      <c r="T28" s="18">
        <f t="shared" si="13"/>
        <v>24850200.111595333</v>
      </c>
    </row>
    <row r="29" spans="1:20">
      <c r="A29" s="11">
        <v>100</v>
      </c>
      <c r="B29" s="4">
        <v>1681668.9698599998</v>
      </c>
      <c r="C29" s="20">
        <f>B29*95.5%+16526.1</f>
        <v>1622519.9662162999</v>
      </c>
      <c r="D29" s="4">
        <f>(D8+F8)-300000</f>
        <v>1561062.9803599999</v>
      </c>
      <c r="E29" s="4">
        <f>(D8*1.01+G8)-200000+71237</f>
        <v>1506561.4931635999</v>
      </c>
      <c r="F29" s="4">
        <f>(D8*1.02+H8)-100000</f>
        <v>1527327.2059672</v>
      </c>
      <c r="G29" s="4">
        <v>1547327.2059672</v>
      </c>
      <c r="H29" s="22">
        <v>1555063.8419970358</v>
      </c>
      <c r="I29" s="4">
        <v>1562839.1612070207</v>
      </c>
      <c r="J29" s="4">
        <v>1570653.3570130556</v>
      </c>
      <c r="K29" s="4">
        <v>1578506.6237981208</v>
      </c>
      <c r="L29" s="4">
        <v>1586399.1569171112</v>
      </c>
      <c r="M29" s="4">
        <v>1610195.1442708678</v>
      </c>
      <c r="N29" s="4">
        <v>1634348.0714349307</v>
      </c>
      <c r="O29" s="4">
        <v>1658863.2925064545</v>
      </c>
      <c r="P29" s="4">
        <v>1683746.2418940512</v>
      </c>
      <c r="Q29" s="4">
        <v>1709002.4355224618</v>
      </c>
      <c r="R29" s="4">
        <v>1734637.4720552985</v>
      </c>
      <c r="S29" s="4">
        <v>1760657.0341361279</v>
      </c>
      <c r="T29" s="4">
        <v>1787066.8896481697</v>
      </c>
    </row>
    <row r="30" spans="1:20">
      <c r="A30" s="11">
        <v>200</v>
      </c>
      <c r="B30" s="4">
        <v>11654.6</v>
      </c>
      <c r="C30" s="20">
        <f>B30</f>
        <v>11654.6</v>
      </c>
      <c r="D30" s="4">
        <f t="shared" ref="D30:D41" si="14">D9+F9</f>
        <v>12729.4</v>
      </c>
      <c r="E30" s="4">
        <f t="shared" ref="E30:E34" si="15">(D9*1.01+G9)</f>
        <v>12731.37</v>
      </c>
      <c r="F30" s="4">
        <f t="shared" ref="F30:F40" si="16">(D9*1.02+H9)</f>
        <v>12733.24</v>
      </c>
      <c r="G30" s="4">
        <v>12733.24</v>
      </c>
      <c r="H30" s="22">
        <v>12796.906199999998</v>
      </c>
      <c r="I30" s="4">
        <v>12860.890730999996</v>
      </c>
      <c r="J30" s="4">
        <v>12925.195184654995</v>
      </c>
      <c r="K30" s="4">
        <v>12989.821160578269</v>
      </c>
      <c r="L30" s="4">
        <v>13054.77026638116</v>
      </c>
      <c r="M30" s="4">
        <v>13120.044117713063</v>
      </c>
      <c r="N30" s="4">
        <v>13185.644338301627</v>
      </c>
      <c r="O30" s="4">
        <v>13251.572559993134</v>
      </c>
      <c r="P30" s="4">
        <v>13317.830422793098</v>
      </c>
      <c r="Q30" s="4">
        <v>13384.419574907062</v>
      </c>
      <c r="R30" s="4">
        <v>13451.341672781597</v>
      </c>
      <c r="S30" s="4">
        <v>13518.598381145503</v>
      </c>
      <c r="T30" s="4">
        <v>13586.191373051228</v>
      </c>
    </row>
    <row r="31" spans="1:20">
      <c r="A31" s="11">
        <v>300</v>
      </c>
      <c r="B31" s="4">
        <v>454607.54739999998</v>
      </c>
      <c r="C31" s="20">
        <f>B31</f>
        <v>454607.54739999998</v>
      </c>
      <c r="D31" s="4">
        <f t="shared" si="14"/>
        <v>295421.71213999996</v>
      </c>
      <c r="E31" s="4">
        <f t="shared" si="15"/>
        <v>274615.52826139994</v>
      </c>
      <c r="F31" s="4">
        <f t="shared" si="16"/>
        <v>275551.64438279998</v>
      </c>
      <c r="G31" s="4">
        <v>275551.64438279998</v>
      </c>
      <c r="H31" s="22">
        <v>276929.40260471392</v>
      </c>
      <c r="I31" s="4">
        <v>278314.04961773747</v>
      </c>
      <c r="J31" s="4">
        <v>279705.61986582616</v>
      </c>
      <c r="K31" s="4">
        <v>281104.14796515525</v>
      </c>
      <c r="L31" s="4">
        <v>282509.66870498098</v>
      </c>
      <c r="M31" s="4">
        <v>285334.76539203082</v>
      </c>
      <c r="N31" s="4">
        <v>288188.11304595112</v>
      </c>
      <c r="O31" s="4">
        <v>291069.9941764106</v>
      </c>
      <c r="P31" s="4">
        <v>296891.39405993884</v>
      </c>
      <c r="Q31" s="4">
        <v>299860.30800053821</v>
      </c>
      <c r="R31" s="4">
        <v>302858.91108054359</v>
      </c>
      <c r="S31" s="4">
        <v>305887.50019134901</v>
      </c>
      <c r="T31" s="4">
        <v>308946.37519326253</v>
      </c>
    </row>
    <row r="32" spans="1:20">
      <c r="A32" s="11">
        <v>400</v>
      </c>
      <c r="B32" s="4">
        <v>3678828.8899099999</v>
      </c>
      <c r="C32" s="20">
        <f>B32*98.5%</f>
        <v>3623646.4565613498</v>
      </c>
      <c r="D32" s="4">
        <f>(D11+F11)-200000</f>
        <v>3516162.8456799998</v>
      </c>
      <c r="E32" s="4">
        <f>(D11*1.01+G11)-300000</f>
        <v>3322876.2861368004</v>
      </c>
      <c r="F32" s="4">
        <f>(D11*1.02+H11)-80000+2421</f>
        <v>4332164.9265935998</v>
      </c>
      <c r="G32" s="4">
        <v>4032164.9265935998</v>
      </c>
      <c r="H32" s="22">
        <v>4047627.7512265672</v>
      </c>
      <c r="I32" s="4">
        <v>4067865.8899826994</v>
      </c>
      <c r="J32" s="4">
        <v>4088205.2194326124</v>
      </c>
      <c r="K32" s="4">
        <v>4163837.0159921157</v>
      </c>
      <c r="L32" s="4">
        <v>4240868.0007879697</v>
      </c>
      <c r="M32" s="4">
        <v>4311676.098802547</v>
      </c>
      <c r="N32" s="4">
        <v>4391442.1066303942</v>
      </c>
      <c r="O32" s="4">
        <v>4472683.7856030567</v>
      </c>
      <c r="P32" s="4">
        <v>4555428.4356367132</v>
      </c>
      <c r="Q32" s="4">
        <v>4639703.8616959918</v>
      </c>
      <c r="R32" s="4">
        <v>4725538.3831373677</v>
      </c>
      <c r="S32" s="4">
        <v>4812960.8432254083</v>
      </c>
      <c r="T32" s="4">
        <v>4902000.618825078</v>
      </c>
    </row>
    <row r="33" spans="1:20">
      <c r="A33" s="11">
        <v>500</v>
      </c>
      <c r="B33" s="4">
        <v>1407041.2101700001</v>
      </c>
      <c r="C33" s="20">
        <f>B33*98.2%</f>
        <v>1381714.46838694</v>
      </c>
      <c r="D33" s="4">
        <f>(D12+F12)-200000</f>
        <v>1275973.6093800003</v>
      </c>
      <c r="E33" s="4">
        <f t="shared" si="15"/>
        <v>734132.59247380006</v>
      </c>
      <c r="F33" s="4">
        <f t="shared" si="16"/>
        <v>734268.57556760008</v>
      </c>
      <c r="G33" s="4">
        <v>754268.57556759997</v>
      </c>
      <c r="H33" s="22">
        <v>758039.91844543791</v>
      </c>
      <c r="I33" s="4">
        <v>761830.11803766503</v>
      </c>
      <c r="J33" s="4">
        <v>765639.26862785325</v>
      </c>
      <c r="K33" s="4">
        <v>769467.46497099241</v>
      </c>
      <c r="L33" s="4">
        <v>773314.80229584733</v>
      </c>
      <c r="M33" s="4">
        <v>784914.52433028491</v>
      </c>
      <c r="N33" s="4">
        <v>796688.24219523906</v>
      </c>
      <c r="O33" s="4">
        <v>808638.5658281676</v>
      </c>
      <c r="P33" s="4">
        <v>824811.33714473096</v>
      </c>
      <c r="Q33" s="4">
        <v>841307.56388762558</v>
      </c>
      <c r="R33" s="4">
        <v>858133.71516537806</v>
      </c>
      <c r="S33" s="4">
        <v>875296.38946868561</v>
      </c>
      <c r="T33" s="4">
        <v>892802.31725805928</v>
      </c>
    </row>
    <row r="34" spans="1:20">
      <c r="A34" s="11">
        <v>600</v>
      </c>
      <c r="B34" s="4">
        <v>59478.89357</v>
      </c>
      <c r="C34" s="20">
        <f>B34</f>
        <v>59478.89357</v>
      </c>
      <c r="D34" s="4">
        <f t="shared" si="14"/>
        <v>46787.8</v>
      </c>
      <c r="E34" s="4">
        <f t="shared" si="15"/>
        <v>62799.199999999997</v>
      </c>
      <c r="F34" s="4">
        <f t="shared" si="16"/>
        <v>44341.3</v>
      </c>
      <c r="G34" s="4">
        <f>44341.3+3000</f>
        <v>47341.3</v>
      </c>
      <c r="H34" s="22">
        <v>47578.006499999996</v>
      </c>
      <c r="I34" s="4">
        <v>47815.896532499988</v>
      </c>
      <c r="J34" s="4">
        <v>48054.97601516248</v>
      </c>
      <c r="K34" s="4">
        <v>48295.250895238285</v>
      </c>
      <c r="L34" s="4">
        <v>48536.727149714468</v>
      </c>
      <c r="M34" s="4">
        <v>48779.410785463035</v>
      </c>
      <c r="N34" s="4">
        <v>49023.307839390342</v>
      </c>
      <c r="O34" s="4">
        <v>49268.42437858729</v>
      </c>
      <c r="P34" s="4">
        <v>49514.766500480218</v>
      </c>
      <c r="Q34" s="4">
        <v>49762.340332982611</v>
      </c>
      <c r="R34" s="4">
        <v>50011.152034647515</v>
      </c>
      <c r="S34" s="4">
        <v>50261.207794820744</v>
      </c>
      <c r="T34" s="4">
        <v>50512.513833794845</v>
      </c>
    </row>
    <row r="35" spans="1:20">
      <c r="A35" s="11">
        <v>700</v>
      </c>
      <c r="B35" s="4">
        <v>7093852.4963999996</v>
      </c>
      <c r="C35" s="20">
        <f>B35*0.999</f>
        <v>7086758.6439036001</v>
      </c>
      <c r="D35" s="4">
        <f>(D14+F14)-300000+15732.4</f>
        <v>7186181.6922399998</v>
      </c>
      <c r="E35" s="4">
        <f>(D14*1.01+G14)-200000</f>
        <v>7138795.6691623982</v>
      </c>
      <c r="F35" s="4">
        <f t="shared" si="16"/>
        <v>7167328.3460847987</v>
      </c>
      <c r="G35" s="4">
        <f>7467328.3460848-145390</f>
        <v>7321938.3460847996</v>
      </c>
      <c r="H35" s="22">
        <v>7358548.0378152225</v>
      </c>
      <c r="I35" s="4">
        <v>7558769.5780042978</v>
      </c>
      <c r="J35" s="4">
        <v>7721001.4258943181</v>
      </c>
      <c r="K35" s="4">
        <v>7863440.1330237892</v>
      </c>
      <c r="L35" s="4">
        <v>7899082.3336889073</v>
      </c>
      <c r="M35" s="4">
        <v>8013772.5686942404</v>
      </c>
      <c r="N35" s="4">
        <v>8138974.7015377106</v>
      </c>
      <c r="O35" s="4">
        <v>8283764.4750453988</v>
      </c>
      <c r="P35" s="4">
        <v>8442910.7974206246</v>
      </c>
      <c r="Q35" s="4">
        <v>8627975.7514077276</v>
      </c>
      <c r="R35" s="4">
        <v>8838117.6301647648</v>
      </c>
      <c r="S35" s="4">
        <v>9025544.2183155883</v>
      </c>
      <c r="T35" s="4">
        <v>9070671.9394071661</v>
      </c>
    </row>
    <row r="36" spans="1:20">
      <c r="A36" s="11">
        <v>800</v>
      </c>
      <c r="B36" s="4">
        <v>925603.31448000006</v>
      </c>
      <c r="C36" s="20">
        <f>B36*99.8%</f>
        <v>923752.10785104008</v>
      </c>
      <c r="D36" s="4">
        <f t="shared" si="14"/>
        <v>714931.22086</v>
      </c>
      <c r="E36" s="4">
        <f t="shared" ref="E36:E40" si="17">(D15*1.01+G15)</f>
        <v>661145.06806860003</v>
      </c>
      <c r="F36" s="4">
        <f t="shared" si="16"/>
        <v>664579.7152772001</v>
      </c>
      <c r="G36" s="4">
        <v>664579.7152772001</v>
      </c>
      <c r="H36" s="22">
        <v>667902.61385358602</v>
      </c>
      <c r="I36" s="4">
        <v>671242.12692285387</v>
      </c>
      <c r="J36" s="4">
        <v>674598.3375574681</v>
      </c>
      <c r="K36" s="4">
        <v>677971.32924525533</v>
      </c>
      <c r="L36" s="4">
        <v>681361.18589148158</v>
      </c>
      <c r="M36" s="4">
        <v>688174.79775039642</v>
      </c>
      <c r="N36" s="4">
        <v>695056.54572790035</v>
      </c>
      <c r="O36" s="4">
        <v>702007.11118517932</v>
      </c>
      <c r="P36" s="4">
        <v>709027.18229703116</v>
      </c>
      <c r="Q36" s="4">
        <v>716117.45412000152</v>
      </c>
      <c r="R36" s="4">
        <v>723278.62866120157</v>
      </c>
      <c r="S36" s="4">
        <v>730511.41494781361</v>
      </c>
      <c r="T36" s="4">
        <v>737816.52909729176</v>
      </c>
    </row>
    <row r="37" spans="1:20">
      <c r="A37" s="11">
        <v>900</v>
      </c>
      <c r="B37" s="4">
        <v>2151057.2178799999</v>
      </c>
      <c r="C37" s="20">
        <f>B37*85%</f>
        <v>1828398.6351979999</v>
      </c>
      <c r="D37" s="4">
        <f t="shared" si="14"/>
        <v>1125652.8999999999</v>
      </c>
      <c r="E37" s="4">
        <f>G16</f>
        <v>636547.70000000007</v>
      </c>
      <c r="F37" s="4">
        <f>H16</f>
        <v>605081.80000000005</v>
      </c>
      <c r="G37" s="4">
        <v>805081.8</v>
      </c>
      <c r="H37" s="22">
        <v>981691.70899999992</v>
      </c>
      <c r="I37" s="4">
        <v>1006600.1675449999</v>
      </c>
      <c r="J37" s="4">
        <v>1211633.1683827247</v>
      </c>
      <c r="K37" s="4">
        <v>1217691.3342246383</v>
      </c>
      <c r="L37" s="4">
        <v>1310084.1908957614</v>
      </c>
      <c r="M37" s="4">
        <v>1316634.61185024</v>
      </c>
      <c r="N37" s="4">
        <v>1323217.7849094912</v>
      </c>
      <c r="O37" s="4">
        <v>1329833.8738340386</v>
      </c>
      <c r="P37" s="4">
        <v>1336483.0432032086</v>
      </c>
      <c r="Q37" s="4">
        <v>1343165.4584192245</v>
      </c>
      <c r="R37" s="4">
        <v>1349881.2857113203</v>
      </c>
      <c r="S37" s="4">
        <v>1406630.6921398768</v>
      </c>
      <c r="T37" s="4">
        <v>1434663.8456005759</v>
      </c>
    </row>
    <row r="38" spans="1:20">
      <c r="A38" s="11">
        <v>1000</v>
      </c>
      <c r="B38" s="4">
        <v>3774807.12439</v>
      </c>
      <c r="C38" s="20">
        <f>B38</f>
        <v>3774807.12439</v>
      </c>
      <c r="D38" s="4">
        <f>(D17+F17)-10000</f>
        <v>3830860.1914300001</v>
      </c>
      <c r="E38" s="4">
        <f>(D17*1.01+G17)-10000</f>
        <v>3282541.6353443</v>
      </c>
      <c r="F38" s="4">
        <f>(D17*1.02+H17)-10000</f>
        <v>3637965.9792585997</v>
      </c>
      <c r="G38" s="4">
        <v>3687965.9792586002</v>
      </c>
      <c r="H38" s="22">
        <v>3706405.8091548928</v>
      </c>
      <c r="I38" s="4">
        <v>3724937.8382006669</v>
      </c>
      <c r="J38" s="4">
        <v>3743562.5273916698</v>
      </c>
      <c r="K38" s="4">
        <v>3818433.7779395031</v>
      </c>
      <c r="L38" s="4">
        <v>3932986.7912776885</v>
      </c>
      <c r="M38" s="4">
        <v>4050976.3950160192</v>
      </c>
      <c r="N38" s="4">
        <v>4172505.6868664999</v>
      </c>
      <c r="O38" s="4">
        <v>4297680.8574724952</v>
      </c>
      <c r="P38" s="4">
        <v>4426611.28319667</v>
      </c>
      <c r="Q38" s="4">
        <v>4559409.6216925699</v>
      </c>
      <c r="R38" s="4">
        <v>4696191.9103433471</v>
      </c>
      <c r="S38" s="4">
        <v>4837077.6676536473</v>
      </c>
      <c r="T38" s="4">
        <v>5182963.8810659396</v>
      </c>
    </row>
    <row r="39" spans="1:20">
      <c r="A39" s="11">
        <v>1100</v>
      </c>
      <c r="B39" s="4">
        <v>555270.38545000006</v>
      </c>
      <c r="C39" s="20">
        <f>B39*98.8%</f>
        <v>548607.14082460001</v>
      </c>
      <c r="D39" s="4">
        <f t="shared" si="14"/>
        <v>210570.46245000011</v>
      </c>
      <c r="E39" s="4">
        <f t="shared" si="17"/>
        <v>166276.88307450007</v>
      </c>
      <c r="F39" s="4">
        <f t="shared" si="16"/>
        <v>161618.00369900008</v>
      </c>
      <c r="G39" s="4">
        <v>211618.00369899999</v>
      </c>
      <c r="H39" s="22">
        <v>212676.09371749498</v>
      </c>
      <c r="I39" s="4">
        <v>213739.47418608243</v>
      </c>
      <c r="J39" s="4">
        <v>214808.17155701283</v>
      </c>
      <c r="K39" s="4">
        <v>215882.21241479786</v>
      </c>
      <c r="L39" s="4">
        <v>216961.62347687181</v>
      </c>
      <c r="M39" s="4">
        <v>221300.85594640925</v>
      </c>
      <c r="N39" s="4">
        <v>225726.87306533745</v>
      </c>
      <c r="O39" s="4">
        <v>230241.41052664421</v>
      </c>
      <c r="P39" s="4">
        <v>234846.2387371771</v>
      </c>
      <c r="Q39" s="4">
        <v>239543.16351192066</v>
      </c>
      <c r="R39" s="4">
        <v>244334.02678215908</v>
      </c>
      <c r="S39" s="4">
        <v>249220.70731780227</v>
      </c>
      <c r="T39" s="4">
        <v>254205.12146415832</v>
      </c>
    </row>
    <row r="40" spans="1:20">
      <c r="A40" s="11">
        <v>1200</v>
      </c>
      <c r="B40" s="4">
        <v>48108.325600000004</v>
      </c>
      <c r="C40" s="20">
        <f>B40</f>
        <v>48108.325600000004</v>
      </c>
      <c r="D40" s="4">
        <f t="shared" si="14"/>
        <v>42423.440600000002</v>
      </c>
      <c r="E40" s="4">
        <f t="shared" si="17"/>
        <v>39654.359006000006</v>
      </c>
      <c r="F40" s="4">
        <f t="shared" si="16"/>
        <v>39885.277412000003</v>
      </c>
      <c r="G40" s="4">
        <v>50885.277412000003</v>
      </c>
      <c r="H40" s="22">
        <v>51139.70379906</v>
      </c>
      <c r="I40" s="4">
        <v>51395.402318055298</v>
      </c>
      <c r="J40" s="4">
        <v>51652.37932964557</v>
      </c>
      <c r="K40" s="4">
        <v>51910.641226293796</v>
      </c>
      <c r="L40" s="4">
        <v>52170.194432425262</v>
      </c>
      <c r="M40" s="4">
        <v>52431.045404587385</v>
      </c>
      <c r="N40" s="4">
        <v>52693.200631610314</v>
      </c>
      <c r="O40" s="4">
        <v>52956.666634768357</v>
      </c>
      <c r="P40" s="4">
        <v>53221.449967942193</v>
      </c>
      <c r="Q40" s="4">
        <v>53487.557217781898</v>
      </c>
      <c r="R40" s="4">
        <v>53754.995003870805</v>
      </c>
      <c r="S40" s="4">
        <v>54023.769978890152</v>
      </c>
      <c r="T40" s="4">
        <v>54293.888828784598</v>
      </c>
    </row>
    <row r="41" spans="1:20">
      <c r="A41" s="11">
        <v>1300</v>
      </c>
      <c r="B41" s="4">
        <v>71086.139880000002</v>
      </c>
      <c r="C41" s="20">
        <f>B41</f>
        <v>71086.139880000002</v>
      </c>
      <c r="D41" s="4">
        <f t="shared" si="14"/>
        <v>80071.739880000008</v>
      </c>
      <c r="E41" s="4">
        <v>85920</v>
      </c>
      <c r="F41" s="4">
        <v>92170</v>
      </c>
      <c r="G41" s="4">
        <v>95300</v>
      </c>
      <c r="H41" s="22">
        <v>98640</v>
      </c>
      <c r="I41" s="4">
        <v>102190</v>
      </c>
      <c r="J41" s="4">
        <v>105970</v>
      </c>
      <c r="K41" s="4">
        <v>110000</v>
      </c>
      <c r="L41" s="4">
        <v>114290</v>
      </c>
      <c r="M41" s="4">
        <v>118860</v>
      </c>
      <c r="N41" s="4">
        <v>123730</v>
      </c>
      <c r="O41" s="4">
        <v>128930</v>
      </c>
      <c r="P41" s="4">
        <v>134470</v>
      </c>
      <c r="Q41" s="4">
        <v>140390</v>
      </c>
      <c r="R41" s="4">
        <v>146710</v>
      </c>
      <c r="S41" s="4">
        <v>153460</v>
      </c>
      <c r="T41" s="4">
        <v>160670</v>
      </c>
    </row>
    <row r="42" spans="1:20">
      <c r="A42">
        <v>1400</v>
      </c>
      <c r="B42" s="15">
        <v>0</v>
      </c>
    </row>
  </sheetData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Лист1</vt:lpstr>
      <vt:lpstr>'2018'!Область_печати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Гнездилова</cp:lastModifiedBy>
  <cp:lastPrinted>2018-10-17T11:57:54Z</cp:lastPrinted>
  <dcterms:created xsi:type="dcterms:W3CDTF">2017-10-13T07:02:54Z</dcterms:created>
  <dcterms:modified xsi:type="dcterms:W3CDTF">2018-10-18T09:54:15Z</dcterms:modified>
</cp:coreProperties>
</file>