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! Гурова А.Е\"/>
    </mc:Choice>
  </mc:AlternateContent>
  <bookViews>
    <workbookView xWindow="0" yWindow="45" windowWidth="28560" windowHeight="12345"/>
  </bookViews>
  <sheets>
    <sheet name="Лист1" sheetId="1" r:id="rId1"/>
    <sheet name="Лист2" sheetId="2" r:id="rId2"/>
    <sheet name="Лист3" sheetId="3" r:id="rId3"/>
  </sheets>
  <definedNames>
    <definedName name="_xlnm.Print_Area" localSheetId="2">Лист3!$C$4:$I$32</definedName>
  </definedNames>
  <calcPr calcId="162913" fullPrecision="0"/>
</workbook>
</file>

<file path=xl/calcChain.xml><?xml version="1.0" encoding="utf-8"?>
<calcChain xmlns="http://schemas.openxmlformats.org/spreadsheetml/2006/main">
  <c r="Q88" i="1" l="1"/>
  <c r="Q81" i="1"/>
  <c r="Q80" i="1"/>
  <c r="P80" i="1"/>
  <c r="Q78" i="1"/>
  <c r="P78" i="1"/>
  <c r="Q77" i="1"/>
  <c r="P77" i="1"/>
  <c r="Q76" i="1"/>
  <c r="P76" i="1"/>
  <c r="J202" i="1" l="1"/>
  <c r="I202" i="1"/>
  <c r="J201" i="1"/>
  <c r="I201" i="1"/>
  <c r="M202" i="1"/>
  <c r="O202" i="1" s="1"/>
  <c r="N201" i="1"/>
  <c r="O201" i="1" s="1"/>
  <c r="Q201" i="1"/>
  <c r="P201" i="1"/>
  <c r="N202" i="1" l="1"/>
  <c r="Q163" i="1" l="1"/>
  <c r="P163" i="1"/>
  <c r="Q162" i="1"/>
  <c r="Q161" i="1"/>
  <c r="P161" i="1"/>
  <c r="Q159" i="1"/>
  <c r="P159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J163" i="1"/>
  <c r="I163" i="1"/>
  <c r="J162" i="1"/>
  <c r="J161" i="1"/>
  <c r="I161" i="1"/>
  <c r="J159" i="1"/>
  <c r="I159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L113" i="1"/>
  <c r="M113" i="1" s="1"/>
  <c r="K113" i="1"/>
  <c r="G113" i="1"/>
  <c r="H113" i="1" s="1"/>
  <c r="F113" i="1"/>
  <c r="E113" i="1"/>
  <c r="D113" i="1"/>
  <c r="Q123" i="1"/>
  <c r="P123" i="1"/>
  <c r="J123" i="1"/>
  <c r="I123" i="1"/>
  <c r="Q127" i="1"/>
  <c r="Q126" i="1"/>
  <c r="P126" i="1"/>
  <c r="Q125" i="1"/>
  <c r="P125" i="1"/>
  <c r="Q124" i="1"/>
  <c r="P124" i="1"/>
  <c r="Q122" i="1"/>
  <c r="P122" i="1"/>
  <c r="Q121" i="1"/>
  <c r="P121" i="1"/>
  <c r="P120" i="1"/>
  <c r="Q118" i="1"/>
  <c r="Q111" i="1"/>
  <c r="P111" i="1"/>
  <c r="Q110" i="1"/>
  <c r="P110" i="1"/>
  <c r="Q108" i="1"/>
  <c r="P108" i="1"/>
  <c r="Q106" i="1"/>
  <c r="P106" i="1"/>
  <c r="Q105" i="1"/>
  <c r="P105" i="1"/>
  <c r="Q104" i="1"/>
  <c r="P104" i="1"/>
  <c r="Q103" i="1"/>
  <c r="P103" i="1"/>
  <c r="Q101" i="1"/>
  <c r="P101" i="1"/>
  <c r="Q100" i="1"/>
  <c r="P100" i="1"/>
  <c r="Q99" i="1"/>
  <c r="P99" i="1"/>
  <c r="Q96" i="1"/>
  <c r="P96" i="1"/>
  <c r="Q95" i="1"/>
  <c r="J127" i="1"/>
  <c r="J126" i="1"/>
  <c r="I126" i="1"/>
  <c r="J125" i="1"/>
  <c r="I125" i="1"/>
  <c r="J124" i="1"/>
  <c r="I124" i="1"/>
  <c r="J122" i="1"/>
  <c r="I122" i="1"/>
  <c r="J121" i="1"/>
  <c r="I121" i="1"/>
  <c r="I120" i="1"/>
  <c r="J119" i="1"/>
  <c r="J118" i="1"/>
  <c r="I118" i="1"/>
  <c r="J117" i="1"/>
  <c r="I117" i="1"/>
  <c r="J116" i="1"/>
  <c r="I116" i="1"/>
  <c r="J115" i="1"/>
  <c r="I115" i="1"/>
  <c r="J114" i="1"/>
  <c r="J111" i="1"/>
  <c r="I111" i="1"/>
  <c r="J110" i="1"/>
  <c r="I110" i="1"/>
  <c r="J109" i="1"/>
  <c r="I109" i="1"/>
  <c r="I108" i="1"/>
  <c r="J106" i="1"/>
  <c r="I106" i="1"/>
  <c r="J105" i="1"/>
  <c r="I105" i="1"/>
  <c r="J104" i="1"/>
  <c r="I104" i="1"/>
  <c r="J103" i="1"/>
  <c r="I103" i="1"/>
  <c r="J101" i="1"/>
  <c r="I101" i="1"/>
  <c r="J100" i="1"/>
  <c r="I100" i="1"/>
  <c r="J97" i="1"/>
  <c r="I97" i="1"/>
  <c r="M119" i="1"/>
  <c r="N119" i="1" s="1"/>
  <c r="O119" i="1" s="1"/>
  <c r="L119" i="1"/>
  <c r="L118" i="1"/>
  <c r="M118" i="1" s="1"/>
  <c r="N118" i="1" s="1"/>
  <c r="O118" i="1" s="1"/>
  <c r="M117" i="1"/>
  <c r="N117" i="1" s="1"/>
  <c r="O117" i="1" s="1"/>
  <c r="M116" i="1"/>
  <c r="N116" i="1" s="1"/>
  <c r="O116" i="1" s="1"/>
  <c r="M115" i="1"/>
  <c r="P115" i="1" s="1"/>
  <c r="M114" i="1"/>
  <c r="Q114" i="1" s="1"/>
  <c r="M112" i="1"/>
  <c r="L112" i="1"/>
  <c r="K112" i="1"/>
  <c r="N114" i="1"/>
  <c r="O114" i="1" s="1"/>
  <c r="N115" i="1"/>
  <c r="O115" i="1" s="1"/>
  <c r="M160" i="1"/>
  <c r="Q160" i="1" s="1"/>
  <c r="L160" i="1"/>
  <c r="K160" i="1"/>
  <c r="E160" i="1"/>
  <c r="F160" i="1" s="1"/>
  <c r="J160" i="1" s="1"/>
  <c r="D160" i="1"/>
  <c r="N98" i="1"/>
  <c r="N97" i="1"/>
  <c r="E112" i="1"/>
  <c r="F112" i="1" s="1"/>
  <c r="D112" i="1"/>
  <c r="H99" i="1"/>
  <c r="G99" i="1"/>
  <c r="F99" i="1"/>
  <c r="E99" i="1"/>
  <c r="D99" i="1"/>
  <c r="O98" i="1"/>
  <c r="M98" i="1"/>
  <c r="Q98" i="1" s="1"/>
  <c r="L98" i="1"/>
  <c r="K98" i="1"/>
  <c r="H98" i="1"/>
  <c r="G98" i="1"/>
  <c r="F98" i="1"/>
  <c r="E98" i="1"/>
  <c r="D98" i="1"/>
  <c r="O97" i="1"/>
  <c r="M97" i="1"/>
  <c r="Q97" i="1" s="1"/>
  <c r="L97" i="1"/>
  <c r="K97" i="1"/>
  <c r="H97" i="1"/>
  <c r="G97" i="1"/>
  <c r="F97" i="1"/>
  <c r="E97" i="1"/>
  <c r="D97" i="1"/>
  <c r="H96" i="1"/>
  <c r="G96" i="1"/>
  <c r="F96" i="1"/>
  <c r="E96" i="1"/>
  <c r="D96" i="1"/>
  <c r="I96" i="1" s="1"/>
  <c r="K95" i="1"/>
  <c r="P95" i="1" s="1"/>
  <c r="H95" i="1"/>
  <c r="G95" i="1"/>
  <c r="F95" i="1"/>
  <c r="I95" i="1" s="1"/>
  <c r="E95" i="1"/>
  <c r="D95" i="1"/>
  <c r="I160" i="1" l="1"/>
  <c r="I112" i="1"/>
  <c r="J113" i="1"/>
  <c r="P160" i="1"/>
  <c r="J99" i="1"/>
  <c r="Q119" i="1"/>
  <c r="Q112" i="1"/>
  <c r="J98" i="1"/>
  <c r="P97" i="1"/>
  <c r="J96" i="1"/>
  <c r="J95" i="1"/>
  <c r="P98" i="1"/>
  <c r="Q115" i="1"/>
  <c r="P116" i="1"/>
  <c r="J112" i="1"/>
  <c r="I98" i="1"/>
  <c r="I99" i="1"/>
  <c r="Q116" i="1"/>
  <c r="P117" i="1"/>
  <c r="P112" i="1"/>
  <c r="Q117" i="1"/>
  <c r="I113" i="1"/>
  <c r="P118" i="1"/>
  <c r="N113" i="1"/>
  <c r="O113" i="1" s="1"/>
  <c r="P113" i="1"/>
  <c r="Q113" i="1"/>
  <c r="N112" i="1"/>
  <c r="O112" i="1" s="1"/>
  <c r="G160" i="1"/>
  <c r="H160" i="1" s="1"/>
  <c r="N160" i="1"/>
  <c r="O160" i="1" s="1"/>
  <c r="G112" i="1"/>
  <c r="H112" i="1" s="1"/>
  <c r="Q187" i="1" l="1"/>
  <c r="P187" i="1"/>
  <c r="P144" i="1" l="1"/>
  <c r="L144" i="1"/>
  <c r="Q144" i="1" s="1"/>
  <c r="J144" i="1"/>
  <c r="I144" i="1"/>
  <c r="Q143" i="1"/>
  <c r="P143" i="1"/>
  <c r="J143" i="1"/>
  <c r="I143" i="1"/>
  <c r="J142" i="1"/>
  <c r="I142" i="1"/>
  <c r="I141" i="1"/>
  <c r="Q140" i="1"/>
  <c r="P140" i="1"/>
  <c r="L140" i="1"/>
  <c r="J140" i="1"/>
  <c r="I140" i="1"/>
  <c r="J139" i="1"/>
  <c r="I139" i="1"/>
  <c r="Q138" i="1"/>
  <c r="P138" i="1"/>
  <c r="J138" i="1"/>
  <c r="I138" i="1"/>
  <c r="J137" i="1"/>
  <c r="I137" i="1"/>
  <c r="J136" i="1"/>
  <c r="I136" i="1"/>
  <c r="Q135" i="1"/>
  <c r="P135" i="1"/>
  <c r="I135" i="1"/>
  <c r="I134" i="1"/>
  <c r="I133" i="1"/>
  <c r="I132" i="1"/>
  <c r="Q131" i="1"/>
  <c r="P131" i="1"/>
  <c r="J131" i="1"/>
  <c r="I131" i="1"/>
  <c r="Q130" i="1"/>
  <c r="P130" i="1"/>
  <c r="J130" i="1"/>
  <c r="I130" i="1"/>
  <c r="Q129" i="1"/>
  <c r="P129" i="1"/>
  <c r="J129" i="1"/>
  <c r="I129" i="1"/>
  <c r="Q41" i="1" l="1"/>
  <c r="J41" i="1"/>
  <c r="Q40" i="1"/>
  <c r="J40" i="1"/>
  <c r="Q34" i="1"/>
  <c r="P34" i="1"/>
  <c r="Q38" i="1"/>
  <c r="J38" i="1"/>
  <c r="I17" i="3" l="1"/>
  <c r="H17" i="3"/>
  <c r="I22" i="3"/>
  <c r="H22" i="3"/>
  <c r="I21" i="3"/>
  <c r="H21" i="3"/>
  <c r="I20" i="3"/>
  <c r="H20" i="3"/>
  <c r="K29" i="3"/>
  <c r="J29" i="3"/>
  <c r="I31" i="3"/>
  <c r="H31" i="3"/>
  <c r="I30" i="3"/>
  <c r="H30" i="3"/>
  <c r="I29" i="3"/>
  <c r="H29" i="3"/>
  <c r="G29" i="3"/>
  <c r="I16" i="3"/>
  <c r="H16" i="3"/>
  <c r="I15" i="3"/>
  <c r="H15" i="3"/>
  <c r="G31" i="3"/>
  <c r="I14" i="3" l="1"/>
  <c r="H14" i="3"/>
  <c r="K42" i="3"/>
  <c r="J42" i="3"/>
  <c r="I42" i="3"/>
  <c r="H42" i="3"/>
  <c r="K41" i="3"/>
  <c r="J41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J27" i="3"/>
  <c r="K26" i="3"/>
  <c r="J26" i="3"/>
  <c r="K25" i="3"/>
  <c r="J25" i="3"/>
  <c r="K24" i="3"/>
  <c r="J24" i="3"/>
  <c r="K23" i="3"/>
  <c r="J23" i="3"/>
  <c r="K20" i="3"/>
  <c r="J20" i="3"/>
  <c r="K18" i="3"/>
  <c r="J18" i="3"/>
  <c r="K17" i="3"/>
  <c r="J17" i="3"/>
  <c r="K14" i="3"/>
  <c r="J14" i="3"/>
  <c r="K11" i="3"/>
  <c r="J11" i="3"/>
  <c r="I41" i="3"/>
  <c r="H41" i="3"/>
  <c r="I32" i="3" l="1"/>
  <c r="I24" i="3"/>
  <c r="I18" i="3"/>
  <c r="I11" i="3"/>
  <c r="H32" i="3"/>
  <c r="H27" i="3"/>
  <c r="H24" i="3"/>
  <c r="H18" i="3"/>
  <c r="H11" i="3"/>
  <c r="E27" i="3"/>
  <c r="P39" i="1"/>
  <c r="I39" i="1"/>
  <c r="L46" i="1"/>
  <c r="K46" i="1"/>
  <c r="Q53" i="1"/>
  <c r="J53" i="1"/>
  <c r="Q52" i="1"/>
  <c r="J52" i="1"/>
  <c r="Q51" i="1"/>
  <c r="J51" i="1"/>
  <c r="Q9" i="1"/>
  <c r="J9" i="1"/>
  <c r="I199" i="1"/>
  <c r="J199" i="1"/>
  <c r="J78" i="1"/>
  <c r="I78" i="1"/>
  <c r="J77" i="1"/>
  <c r="I77" i="1"/>
  <c r="J76" i="1"/>
  <c r="I76" i="1"/>
  <c r="Q91" i="1"/>
  <c r="I92" i="1"/>
  <c r="J92" i="1"/>
  <c r="J91" i="1"/>
  <c r="Q73" i="1"/>
  <c r="I27" i="3" l="1"/>
  <c r="K27" i="3"/>
  <c r="F7" i="2"/>
  <c r="E7" i="2"/>
  <c r="D7" i="2"/>
  <c r="C7" i="2"/>
  <c r="Q63" i="1"/>
  <c r="J63" i="1"/>
  <c r="Q61" i="1" l="1"/>
  <c r="J61" i="1"/>
  <c r="P30" i="1"/>
  <c r="Q30" i="1"/>
  <c r="P29" i="1"/>
  <c r="Q29" i="1"/>
  <c r="P26" i="1"/>
  <c r="Q26" i="1"/>
  <c r="P25" i="1"/>
  <c r="Q25" i="1"/>
  <c r="P24" i="1"/>
  <c r="Q24" i="1"/>
  <c r="P23" i="1"/>
  <c r="Q23" i="1"/>
  <c r="P22" i="1"/>
  <c r="Q22" i="1"/>
  <c r="P21" i="1"/>
  <c r="Q21" i="1"/>
  <c r="P20" i="1"/>
  <c r="Q20" i="1"/>
  <c r="P19" i="1"/>
  <c r="Q19" i="1"/>
  <c r="P18" i="1"/>
  <c r="Q18" i="1"/>
  <c r="P17" i="1"/>
  <c r="Q17" i="1"/>
  <c r="J30" i="1"/>
  <c r="I30" i="1"/>
  <c r="J29" i="1"/>
  <c r="I29" i="1"/>
  <c r="I26" i="1"/>
  <c r="J26" i="1"/>
  <c r="I25" i="1"/>
  <c r="J25" i="1"/>
  <c r="I24" i="1"/>
  <c r="J24" i="1"/>
  <c r="I23" i="1"/>
  <c r="J23" i="1"/>
  <c r="I22" i="1"/>
  <c r="J22" i="1"/>
  <c r="I21" i="1"/>
  <c r="J21" i="1"/>
  <c r="I20" i="1"/>
  <c r="J20" i="1"/>
  <c r="I19" i="1"/>
  <c r="J19" i="1"/>
  <c r="I18" i="1"/>
  <c r="J18" i="1"/>
  <c r="I17" i="1"/>
  <c r="J17" i="1"/>
  <c r="Q28" i="1"/>
  <c r="P28" i="1"/>
  <c r="J28" i="1"/>
  <c r="I28" i="1"/>
  <c r="J183" i="1" l="1"/>
  <c r="J179" i="1"/>
  <c r="I179" i="1"/>
  <c r="J178" i="1"/>
  <c r="I178" i="1"/>
  <c r="J176" i="1"/>
  <c r="I176" i="1"/>
  <c r="J175" i="1"/>
  <c r="I175" i="1"/>
  <c r="J174" i="1"/>
  <c r="I174" i="1"/>
  <c r="I173" i="1"/>
  <c r="J169" i="1"/>
  <c r="I169" i="1"/>
  <c r="J167" i="1"/>
  <c r="I167" i="1"/>
  <c r="J166" i="1"/>
  <c r="I166" i="1"/>
  <c r="J165" i="1"/>
  <c r="Q179" i="1"/>
  <c r="P179" i="1"/>
  <c r="Q178" i="1"/>
  <c r="P178" i="1"/>
  <c r="Q176" i="1"/>
  <c r="P176" i="1"/>
  <c r="Q175" i="1"/>
  <c r="P175" i="1"/>
  <c r="Q174" i="1"/>
  <c r="P174" i="1"/>
  <c r="P173" i="1"/>
  <c r="Q169" i="1"/>
  <c r="Q167" i="1"/>
  <c r="Q166" i="1"/>
  <c r="P166" i="1"/>
  <c r="Q165" i="1"/>
  <c r="P165" i="1"/>
  <c r="K169" i="1"/>
  <c r="P169" i="1" s="1"/>
  <c r="K167" i="1"/>
  <c r="P167" i="1" s="1"/>
  <c r="D165" i="1"/>
  <c r="I165" i="1" s="1"/>
  <c r="P90" i="1" l="1"/>
  <c r="P89" i="1"/>
  <c r="I90" i="1"/>
  <c r="I89" i="1"/>
  <c r="P83" i="1"/>
  <c r="P62" i="1"/>
  <c r="I62" i="1"/>
  <c r="P57" i="1"/>
  <c r="P55" i="1"/>
  <c r="P54" i="1"/>
  <c r="P50" i="1"/>
  <c r="P49" i="1"/>
  <c r="P48" i="1"/>
  <c r="P47" i="1"/>
  <c r="P46" i="1"/>
  <c r="P45" i="1"/>
  <c r="P42" i="1"/>
  <c r="P37" i="1"/>
  <c r="P36" i="1"/>
  <c r="I57" i="1"/>
  <c r="I56" i="1"/>
  <c r="I55" i="1"/>
  <c r="I54" i="1"/>
  <c r="I50" i="1"/>
  <c r="I49" i="1"/>
  <c r="I48" i="1"/>
  <c r="I47" i="1"/>
  <c r="I46" i="1"/>
  <c r="I45" i="1"/>
  <c r="I42" i="1"/>
  <c r="I37" i="1"/>
  <c r="I83" i="1"/>
  <c r="P33" i="1"/>
  <c r="P32" i="1"/>
  <c r="I36" i="1"/>
  <c r="I35" i="1"/>
  <c r="I34" i="1"/>
  <c r="I33" i="1"/>
  <c r="I32" i="1"/>
  <c r="P14" i="1"/>
  <c r="I16" i="1"/>
  <c r="I14" i="1"/>
  <c r="I13" i="1"/>
  <c r="I12" i="1"/>
  <c r="I11" i="1"/>
  <c r="I10" i="1"/>
  <c r="P11" i="1"/>
  <c r="P10" i="1"/>
  <c r="P93" i="1" l="1"/>
  <c r="Q92" i="1"/>
  <c r="P92" i="1"/>
  <c r="P87" i="1"/>
  <c r="P86" i="1"/>
  <c r="P85" i="1"/>
  <c r="P84" i="1"/>
  <c r="Q82" i="1"/>
  <c r="P82" i="1"/>
  <c r="Q79" i="1"/>
  <c r="P79" i="1"/>
  <c r="Q75" i="1"/>
  <c r="P75" i="1"/>
  <c r="Q74" i="1"/>
  <c r="P74" i="1"/>
  <c r="I93" i="1"/>
  <c r="J88" i="1"/>
  <c r="I88" i="1"/>
  <c r="I87" i="1"/>
  <c r="I86" i="1"/>
  <c r="I85" i="1"/>
  <c r="I84" i="1"/>
  <c r="J82" i="1"/>
  <c r="I82" i="1"/>
  <c r="J81" i="1"/>
  <c r="I81" i="1"/>
  <c r="J80" i="1"/>
  <c r="I80" i="1"/>
  <c r="J79" i="1"/>
  <c r="I79" i="1"/>
  <c r="J75" i="1"/>
  <c r="I75" i="1"/>
  <c r="J74" i="1"/>
  <c r="I74" i="1"/>
  <c r="Q16" i="1" l="1"/>
  <c r="P16" i="1"/>
  <c r="P13" i="1"/>
  <c r="P12" i="1"/>
  <c r="Q8" i="1"/>
  <c r="P8" i="1"/>
  <c r="J16" i="1"/>
  <c r="J8" i="1"/>
  <c r="I8" i="1"/>
  <c r="P88" i="1" l="1"/>
  <c r="Q200" i="1"/>
  <c r="P200" i="1"/>
  <c r="Q198" i="1"/>
  <c r="P198" i="1"/>
  <c r="J200" i="1"/>
  <c r="I200" i="1"/>
  <c r="J198" i="1"/>
  <c r="I198" i="1"/>
  <c r="J145" i="1" l="1"/>
  <c r="I145" i="1"/>
  <c r="Q185" i="1"/>
  <c r="P185" i="1"/>
  <c r="J185" i="1"/>
  <c r="I185" i="1"/>
  <c r="Q145" i="1" l="1"/>
  <c r="P145" i="1"/>
  <c r="Q67" i="1" l="1"/>
  <c r="P67" i="1"/>
  <c r="P73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Q65" i="1"/>
  <c r="P65" i="1"/>
  <c r="Q64" i="1"/>
  <c r="P64" i="1"/>
  <c r="Q62" i="1"/>
  <c r="Q60" i="1"/>
  <c r="P60" i="1"/>
  <c r="Q59" i="1"/>
  <c r="P59" i="1"/>
  <c r="J65" i="1"/>
  <c r="I65" i="1"/>
  <c r="J64" i="1"/>
  <c r="I64" i="1"/>
  <c r="J62" i="1"/>
  <c r="J60" i="1"/>
  <c r="I60" i="1"/>
  <c r="J59" i="1"/>
  <c r="I59" i="1"/>
  <c r="Q55" i="1"/>
  <c r="Q54" i="1"/>
  <c r="Q49" i="1"/>
  <c r="Q48" i="1"/>
  <c r="Q47" i="1"/>
  <c r="Q46" i="1"/>
  <c r="Q45" i="1"/>
  <c r="Q42" i="1"/>
  <c r="Q36" i="1"/>
  <c r="Q33" i="1"/>
  <c r="Q32" i="1"/>
  <c r="J55" i="1"/>
  <c r="J54" i="1"/>
  <c r="J49" i="1"/>
  <c r="J48" i="1"/>
  <c r="J47" i="1"/>
  <c r="J46" i="1"/>
  <c r="J45" i="1"/>
  <c r="J42" i="1"/>
  <c r="J36" i="1"/>
  <c r="J34" i="1"/>
  <c r="J33" i="1"/>
  <c r="J32" i="1"/>
  <c r="P27" i="1" l="1"/>
  <c r="J27" i="1"/>
  <c r="I27" i="1"/>
  <c r="Q27" i="1" l="1"/>
</calcChain>
</file>

<file path=xl/sharedStrings.xml><?xml version="1.0" encoding="utf-8"?>
<sst xmlns="http://schemas.openxmlformats.org/spreadsheetml/2006/main" count="585" uniqueCount="365">
  <si>
    <t>количество мероприятий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</si>
  <si>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</si>
  <si>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</si>
  <si>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Число посетителей</t>
  </si>
  <si>
    <t>Численность граждан, получивших социальные услуги</t>
  </si>
  <si>
    <t>количество экспертиз</t>
  </si>
  <si>
    <t>Организация круглосуточного приема, содержания, выхаживания и воспитания детей</t>
  </si>
  <si>
    <t>Паллиативная медицинская помощь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</si>
  <si>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</si>
  <si>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</si>
  <si>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</si>
  <si>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Ед. изм.</t>
  </si>
  <si>
    <t>Наименование государственной услуги (работы)</t>
  </si>
  <si>
    <t xml:space="preserve">Наименования показателя объема государственной услуги (работы) </t>
  </si>
  <si>
    <t>Спортивная подготовка по олимпийским видам спорта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</si>
  <si>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</si>
  <si>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</si>
  <si>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</si>
  <si>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</si>
  <si>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Спортивная подготовка по неолимпийским видам спорта</t>
  </si>
  <si>
    <t>км</t>
  </si>
  <si>
    <t xml:space="preserve">Осуществление лесовосстановления и лесоразведения  </t>
  </si>
  <si>
    <t>план</t>
  </si>
  <si>
    <t>факт</t>
  </si>
  <si>
    <t xml:space="preserve">Факт </t>
  </si>
  <si>
    <t xml:space="preserve"> Государственная  программа Республики Алтай «Развитие образования»</t>
  </si>
  <si>
    <t>Государственная программа Республики Алтай  «Развитие культуры»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</si>
  <si>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</si>
  <si>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 и занятости населения»</t>
  </si>
  <si>
    <t xml:space="preserve">Государственная  программа Республики Алтай «Развитие  физической культуры и спорта»  </t>
  </si>
  <si>
    <t>Государственная программа  Республики Алтай  «Развитие сельского хозяйства и регулирование рынков    сельскохозяйственной продукции, сырья и продовольствия»</t>
  </si>
  <si>
    <t>Государственная 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</si>
  <si>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</si>
  <si>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 программа Республики Алтай «Управление государственными финансами»</t>
  </si>
  <si>
    <t xml:space="preserve">Планируемый объем оказания государственых услуг  (работ) государственными бюджетными и автономными  учреждениями </t>
  </si>
  <si>
    <t>Объем субсидий государственным и бюджетным и автономным учреждениям  на финансовое обеспечение государственных заданий на оказание государственных услуг (выполнение работ), тыс.руб.</t>
  </si>
  <si>
    <t xml:space="preserve"> </t>
  </si>
  <si>
    <t>оценка</t>
  </si>
  <si>
    <t>Оформление и выдача ветеринарных сопроводительных документов</t>
  </si>
  <si>
    <t>Штука</t>
  </si>
  <si>
    <t>Единица</t>
  </si>
  <si>
    <t/>
  </si>
  <si>
    <t>Количество отчетов</t>
  </si>
  <si>
    <t>Мониторинг инвестиций в основной капитал по Республике Алтай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</si>
  <si>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</si>
  <si>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Минимальное число обращений заявителей за получением государственных (муниципальных) услуг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</si>
  <si>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</si>
  <si>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Количество субъектов МСП получивших услугу</t>
  </si>
  <si>
    <t>Площадь помещений представленных субъектам МСП</t>
  </si>
  <si>
    <t>Квадратный метр</t>
  </si>
  <si>
    <t>Организация проведения мероприятий, а также обеспечения участия Республики Алтай в приоритетных конгрессных и выставочно-ярмарочных мероприятиях на территории России и за ее пределами</t>
  </si>
  <si>
    <t>Предоставление информационной и консультационной поддержки субъектам инвестиционной деятельности с целью развития туризма</t>
  </si>
  <si>
    <t>Количество субъектов инвестиционной деятельности, получивших услугу</t>
  </si>
  <si>
    <t>Предоставление информационной и консультационной поддержки субъектам малого и среднего предпринимательства</t>
  </si>
  <si>
    <t>Количество СМСП получивших услугу и граждан планирующих заниматься предпринимательской деятельностью</t>
  </si>
  <si>
    <t>Предоставление консультационной и информационной поддержки органам власти</t>
  </si>
  <si>
    <t>Количество юридических лиц</t>
  </si>
  <si>
    <t>Предоставление консультационной и информационной поддержки субъектам инвестиционной деятельности</t>
  </si>
  <si>
    <t>Количество юридических лиц, физических лиц обратившихся за услугой</t>
  </si>
  <si>
    <t>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</si>
  <si>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Прием документов для получения государственной поддержки в инвестиционной сфере</t>
  </si>
  <si>
    <t>Количество субъектов инвестиционной деятельности, обратившихся за услугой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</si>
  <si>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</si>
  <si>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Количество сотрудников СМСП, граждан планирующих заниматься предпринимательской деятельностью получивших сертификаты, свидетельства, дипломы,  и др.</t>
  </si>
  <si>
    <t>Сбор, обработка, систематизация и накопление информации при определении кадастровой стоимости, необходимой для определения кадастровой стоимости, в том числе о данных рынка недвижимости</t>
  </si>
  <si>
    <t>Количество муниципальных образований по которым осуществляется сбор, обработка и ситематизация информации</t>
  </si>
  <si>
    <t>Техническое сопровождение и эксплуатация информационных систем и компонентов информационно-телекоммуникационной инфраструктуры</t>
  </si>
  <si>
    <t>Количество администрируемых информационных систем</t>
  </si>
  <si>
    <t>Количество автоматизированных рабочих мест</t>
  </si>
  <si>
    <t>Количество компонентов инфраструктуры электронного правительства</t>
  </si>
  <si>
    <t>Управление недвижимым имуществом за вознаграждение или на договорной основе</t>
  </si>
  <si>
    <t>Выполнение полного комплекса мероприятий по обеспечению деятельности учреждения</t>
  </si>
  <si>
    <t>Условная единица</t>
  </si>
  <si>
    <t>Человек</t>
  </si>
  <si>
    <t>Предоставление социального обслуживания в стационарной форме</t>
  </si>
  <si>
    <t>Техническое сопровождение и эксплуатация, вывод из эксплуатации информационных систем и компонентов информационно-телекаммуникационной инфраструктуры</t>
  </si>
  <si>
    <t>Количество отчетов, подлежащих своду</t>
  </si>
  <si>
    <t>Формирование финансовой (бухгалтерской) отчетности бюджетных и автономных учреждений</t>
  </si>
  <si>
    <t>Количество объектов учета (регистров)</t>
  </si>
  <si>
    <t>Деятельность в области гидрометеорологии и смежных областях, мониторинга состояния окружающей среды, ее загрязнения</t>
  </si>
  <si>
    <t>Количество администрируемых экологических порталов</t>
  </si>
  <si>
    <t>Количество аналитических докладов, обзоров, записок</t>
  </si>
  <si>
    <t>Количество докладов о состоянии и об охране окружающей среды Республики Алтай</t>
  </si>
  <si>
    <t>Количество заключений, отзывов, рецензий</t>
  </si>
  <si>
    <t>Количество картографических материалов экологического содержания</t>
  </si>
  <si>
    <t>Количество консультаций</t>
  </si>
  <si>
    <t>Количество месяцев в году, в течение которых обеспечен охранный режим на территории ООПТ</t>
  </si>
  <si>
    <t>Месяц</t>
  </si>
  <si>
    <t>Реализация основных общеобразовательных программ основного общего образования</t>
  </si>
  <si>
    <t>Число обучающихся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</si>
  <si>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</si>
  <si>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</si>
  <si>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Количество 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</si>
  <si>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</si>
  <si>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Организация и проведение спортивно-массовых мероприятий</t>
  </si>
  <si>
    <t>Численность детей, принявших участие в мероприятиях, направленных на пропаганду физической культуры, спорта и здорового образа жизни</t>
  </si>
  <si>
    <t>Количество проведенных мероприятий</t>
  </si>
  <si>
    <t>Количество отчетов в Федеральное бюро медико-социальной экспертизы по количеству ИПРА, поступивших на детей-инвалидов</t>
  </si>
  <si>
    <t>Предоставление методических услуг</t>
  </si>
  <si>
    <t>Предоставление питания</t>
  </si>
  <si>
    <t>Содержание детей</t>
  </si>
  <si>
    <t>Проведение фундаментальных научных исследований</t>
  </si>
  <si>
    <t>Реализация дополнительных профессиональных программ повышения квалификации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</si>
  <si>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</si>
  <si>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</si>
  <si>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Число лиц, прошедших спортивную подготовку на этапах спортивной подготовки</t>
  </si>
  <si>
    <t>Реализация дополнительных предпрофессиональных программ в области физической культуры и спорта</t>
  </si>
  <si>
    <t>Количество посещений</t>
  </si>
  <si>
    <t>Организация и проведение мероприятий</t>
  </si>
  <si>
    <t>Количество публичных выступлений</t>
  </si>
  <si>
    <t>Час</t>
  </si>
  <si>
    <t>Человеко-день</t>
  </si>
  <si>
    <t>количество участников мероприятий</t>
  </si>
  <si>
    <t>Показ (организация показа) концертных программ</t>
  </si>
  <si>
    <t>Число зрителей</t>
  </si>
  <si>
    <t>Количество выставок</t>
  </si>
  <si>
    <t>Диспансерное наблюдение</t>
  </si>
  <si>
    <t>условная единица продукта, переработки (в перерасчете на 1 литр цельной крови)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</si>
  <si>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</si>
  <si>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Машино-часы работы</t>
  </si>
  <si>
    <t>Вагоно (машино)-час</t>
  </si>
  <si>
    <t>Государственная программа Республики Алтай «Реализация государственной национальной политики»</t>
  </si>
  <si>
    <t>Осуществление издательской деятельности</t>
  </si>
  <si>
    <t>количество полос формата А3</t>
  </si>
  <si>
    <t>Организация и проведение мероприятий в сфере национальной политики</t>
  </si>
  <si>
    <t>Содержание (эксплуатация) имущества, находящегося в государственной (муниципальной) собственности</t>
  </si>
  <si>
    <t>Эксплуатируемая площадь административных зданий</t>
  </si>
  <si>
    <t>Тысяча квадратных метров</t>
  </si>
  <si>
    <t>Обеспечение участия в официальных физкультурных (физкультурно-оздоровительных) мероприятиях</t>
  </si>
  <si>
    <t>Обеспечение участия спортивных сборных команд в официальных спортивных мероприятиях</t>
  </si>
  <si>
    <t>Организация и проведение официальных спортивных мероприятий</t>
  </si>
  <si>
    <t>Организация и проведение официальных физкультурных (физкультурно-оздоровительных) мероприятий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</si>
  <si>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</si>
  <si>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</si>
  <si>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Осуществление спортивной подготовки в соответствии с федеральными стандартами спортивной подготовки</t>
  </si>
  <si>
    <t>Проведение тестирования выполнения нормативов испытаний (тестов) комплекса ГТО</t>
  </si>
  <si>
    <t>Спортивная подготовка по спорту глухих</t>
  </si>
  <si>
    <t>Спортивная подготовка по спорту лиц с поражением ОДА</t>
  </si>
  <si>
    <t>га.</t>
  </si>
  <si>
    <t>кг.</t>
  </si>
  <si>
    <t>площадь обустроенных/ эксплуатируемых посадочных площадок для самолетов, вертолетов, используемых в целях проведения авиационных работ по охране и защите лесов</t>
  </si>
  <si>
    <t>м2</t>
  </si>
  <si>
    <t>протяженность устраиваемых противопожарных минерализированных полос</t>
  </si>
  <si>
    <t>км.</t>
  </si>
  <si>
    <t>протяженность прочищаемых и обновляемых противопожарных минерализированных полос</t>
  </si>
  <si>
    <t>площадь лесного фонда, на территории которого осуществляется мониторинг пожарной опасности в лесах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</si>
  <si>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</si>
  <si>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Предоставление услуг в области животноводства</t>
  </si>
  <si>
    <t>Количество оказанных консультаций</t>
  </si>
  <si>
    <t>Поголовье племенного крупного рогатого скота</t>
  </si>
  <si>
    <t>Голов</t>
  </si>
  <si>
    <t>Поголовье племенных лошадей</t>
  </si>
  <si>
    <t>Поголовье племенных овец и коз</t>
  </si>
  <si>
    <t>Поголовье скота, прошедшего бонитировку</t>
  </si>
  <si>
    <t>Создание лесных дорог предназначенных для охраны лесов от пожаров,км</t>
  </si>
  <si>
    <t>Благоустройство зон отдыха граждан, пребывающих в лесах</t>
  </si>
  <si>
    <t>Установка и размещение стендов и изготовление и распространение листовок, содержащих информацию о мерах пожарной безопасности в лесах</t>
  </si>
  <si>
    <t>Сохранение природных комплексов, уникальных и эталонных природных участков и объектов</t>
  </si>
  <si>
    <t xml:space="preserve">          Сведения о планируемых на 2021 год и плановый период 2022 и 2023 годов объемах оказания  государственных услуг (работ)  государственными  учреждениями  Республики Алтай,</t>
  </si>
  <si>
    <t xml:space="preserve">                   а также о планируемых объемах  их  финансового обеспечения  в сравнеии с ожидаемым исполнением за 2020 год  и отчетом за 2019 год </t>
  </si>
  <si>
    <t>Очередной финансовый   год  (2021 год)</t>
  </si>
  <si>
    <t>Первый год  планового периода (2022 год)</t>
  </si>
  <si>
    <t>Второй  год  планового периода (2023 год)</t>
  </si>
  <si>
    <t>Темп роста 2021 года к 2019 году</t>
  </si>
  <si>
    <t>Темп роста 2021 года к 2020 году</t>
  </si>
  <si>
    <t>количество посещений</t>
  </si>
  <si>
    <t>условная единица</t>
  </si>
  <si>
    <t>количсетво обращений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</si>
  <si>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(круглосуточный стационар)</t>
  </si>
  <si>
    <t>случаи госпитализации</t>
  </si>
  <si>
    <t>Санаторно-куротрное лечение</t>
  </si>
  <si>
    <t>количество койко-дней</t>
  </si>
  <si>
    <t>койко день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</si>
  <si>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(дневной стационар)</t>
  </si>
  <si>
    <t>случаи лечения</t>
  </si>
  <si>
    <t>человек</t>
  </si>
  <si>
    <t>количество экспертиз/количество исследований</t>
  </si>
  <si>
    <t>количество человек</t>
  </si>
  <si>
    <t xml:space="preserve">количество койко-дней </t>
  </si>
  <si>
    <t>человеко-час</t>
  </si>
  <si>
    <t>единица</t>
  </si>
  <si>
    <t xml:space="preserve">Медицинская помощь в рамках клинической апробации методов профилактики, диагностики, лечения и реабилитации </t>
  </si>
  <si>
    <t>количество пациентов</t>
  </si>
  <si>
    <t xml:space="preserve">количество посещений </t>
  </si>
  <si>
    <t>Заготовка, хранение, транспортировка и обеспечение безопасности донорской крови и ее компонентов</t>
  </si>
  <si>
    <t xml:space="preserve">количество обслуживаемых лиц </t>
  </si>
  <si>
    <t>число пациентов-человек/количество вызовов</t>
  </si>
  <si>
    <t>человек/единица</t>
  </si>
  <si>
    <t xml:space="preserve">количество освидетельствований </t>
  </si>
  <si>
    <t>штука</t>
  </si>
  <si>
    <t xml:space="preserve">количество мероприятий; 
количество выполненных работ </t>
  </si>
  <si>
    <t xml:space="preserve">Количество вскрытий; Колическтво исследований </t>
  </si>
  <si>
    <t>Проведение  плановых диагностических мероприятий на особо  опасные болезни животных (птиц) и болезни общие для человека и животных (птиц)</t>
  </si>
  <si>
    <t>диагностические мероприятия</t>
  </si>
  <si>
    <t xml:space="preserve">ед. </t>
  </si>
  <si>
    <t>отбор проб</t>
  </si>
  <si>
    <t>ед.</t>
  </si>
  <si>
    <t>оформление документации</t>
  </si>
  <si>
    <t>шт.</t>
  </si>
  <si>
    <t>Проведение  плановых профилактических  вакцинаций животных (птиц) против особо опасных болезней  животных и болезней общих для человека и животных (птиц)</t>
  </si>
  <si>
    <t>вакцинация</t>
  </si>
  <si>
    <t>гол.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</si>
  <si>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 общих для человека и животных</t>
  </si>
  <si>
    <t>Проведены ветеринарные организационные работы, включая учет и ответственное хранение лекарственных средств и препаратов для ветеринарного применения</t>
  </si>
  <si>
    <t>Учет, хранение ветеринарных сопроводительных документов</t>
  </si>
  <si>
    <t>проведение мероприятий</t>
  </si>
  <si>
    <t>Проведение ветеринарно-санитарной экспертизы сырья и продукции животного происхождения на трихинеллез</t>
  </si>
  <si>
    <t>ед</t>
  </si>
  <si>
    <t>лабораторные исследования</t>
  </si>
  <si>
    <t>Проведение  плановых  лабораторных исследований на особо  опасные болезни животных (птиц) и болезни общие для человека и животных (птиц), включая отбор проб и их транспортировку</t>
  </si>
  <si>
    <t xml:space="preserve">Предоставление социального обслуживания в полустационарной форме </t>
  </si>
  <si>
    <t>Профилактика обстоятельств, обуславливающих нуждаемость граждан в социальном обслуживании</t>
  </si>
  <si>
    <t xml:space="preserve">Количество проведенных  социально-значимых мероприятий </t>
  </si>
  <si>
    <t>Методическое обеспечение в сфере социального  обслуживания</t>
  </si>
  <si>
    <t xml:space="preserve">Количество проведенных   мероприятий </t>
  </si>
  <si>
    <t>количество автоматизированных рабочих мест</t>
  </si>
  <si>
    <t>Всего</t>
  </si>
  <si>
    <t>УД.ВЕС</t>
  </si>
  <si>
    <t>1100 раздел</t>
  </si>
  <si>
    <t>Тыс.руб.</t>
  </si>
  <si>
    <t>2020 закон</t>
  </si>
  <si>
    <t>2021 проект</t>
  </si>
  <si>
    <t>2022 проект</t>
  </si>
  <si>
    <t>2023 проект</t>
  </si>
  <si>
    <t>Расходы федерального бюджета</t>
  </si>
  <si>
    <t>Первичная медико-санитарная помощь, не включенная в базовую программу обязательного медицинского страхования</t>
  </si>
  <si>
    <t>Судебно-медицнская экспертиза</t>
  </si>
  <si>
    <t>Ведение информационных ресурсов и баз данных</t>
  </si>
  <si>
    <t xml:space="preserve">Обеспечение лечебным и профилактическим питанием </t>
  </si>
  <si>
    <t xml:space="preserve">Патологическая анатомия </t>
  </si>
  <si>
    <t>Повышение эффективности предупреждения возникновения и распространения лесных пожаров, а также их тушения</t>
  </si>
  <si>
    <t>реконструикция лесных дорог предназначенных для охраны лесов от пожаров</t>
  </si>
  <si>
    <t xml:space="preserve">Мониторинг пожарной опасности в лесах и лесных пожаров путем наземного  патрулирования лесов </t>
  </si>
  <si>
    <t>Тушение  лесных пожаров</t>
  </si>
  <si>
    <t>Повышение эффективности проведения профилактики  возникновения, локализации и ликвидации очагов вредных организмов</t>
  </si>
  <si>
    <t>Ликвидация очагов вредных организмов, уничтожение или подавление численности вредных организмов, при выподнении наземным способом, биологическим методом</t>
  </si>
  <si>
    <t>Создание и содержание объектов лесного семеноводства</t>
  </si>
  <si>
    <t xml:space="preserve">Заготовка семян лесных растений на объектах лесного  семеноводства, а также в плюсовых и нормальных насаждениях </t>
  </si>
  <si>
    <t>Естественное лесовосстановление  (содействие естественному лесовостановлению)  путем  сохранения возбновившегося под пологом лесных насаждений жизнеспособного поколения главных лесных пород  лесных насаждений (подрост)</t>
  </si>
  <si>
    <t xml:space="preserve"> Искусственное лесовостановление путем посадки сеянцев с открытой корневой системой </t>
  </si>
  <si>
    <t xml:space="preserve">Естественное лесовосстановление  (содействие естественному лесовостановлению)  путем  ухода  за подростом   главных лесных древесных пород на площадях, не занятых лесными  насаждениями </t>
  </si>
  <si>
    <t>Естественное лесовосстановление  (содействие естественному лесовостановлению)  путем  минерализации поверхности почвы на местах  планируемых рубок спелых и перестойных насаждений и на  вырубках</t>
  </si>
  <si>
    <t>Естественное лесовосстановление  (содействие естественному лесовостановлению)  путем  оставление семенных деревьев, куртин и групп</t>
  </si>
  <si>
    <t xml:space="preserve">Агротехнический уход за лесными культурами путем рыхления почвы с одновременным уничтожением  травянистой и древесной растительности в рядах культур и междурядьях </t>
  </si>
  <si>
    <t xml:space="preserve">Агротехнический уход за лесными культурами путем дополнения лесных культур, подкормка минеральными удобрениями  и полив лесных культур </t>
  </si>
  <si>
    <t xml:space="preserve">Обработка почвы под лесные культуры на всем  участке (сплошная обработка)  или на его  части (частичная обработка) механическим, химическим или огневым  способами </t>
  </si>
  <si>
    <t>Поголовье племенных животных</t>
  </si>
  <si>
    <t xml:space="preserve">Предоставление консультационных услуг  в области сельского хозяйства </t>
  </si>
  <si>
    <t>Сбор, обработка, систематизация и накопление информации, необходимой для определения 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</si>
  <si>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количество отчетов</t>
  </si>
  <si>
    <t>Сбор, обработка  информации,  полученной в государственных и муниципальных органах, в том числе в федеральном органе, осуществляющем ведение государственного  реестра  недвижимости , от юридических и физических лиц, проведение мероприятий по обследованию объектов в целях определения вида фактического использования зданий (строений, сооружений) и нежилых помещений</t>
  </si>
  <si>
    <t>количество  актов обследования по результатам работы</t>
  </si>
  <si>
    <t xml:space="preserve">Определение кадастровой стоимости объектов недвижимости в рамках  государственной  кадастровой оценки </t>
  </si>
  <si>
    <t xml:space="preserve">количество объектов недвижимости </t>
  </si>
  <si>
    <t xml:space="preserve">Оказание туристско- информационных услуг </t>
  </si>
  <si>
    <t xml:space="preserve">Количество людей  получивших услугу </t>
  </si>
  <si>
    <t>КОД</t>
  </si>
  <si>
    <t>Наименование программы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</si>
  <si>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                        и  продовольствия»</t>
  </si>
  <si>
    <t>Государственная программа Республики Алтай «Развитие                             жилищно-коммунального и транспортного комплекса»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</si>
  <si>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</si>
  <si>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экономического          потенциала и предпринимательства»</t>
  </si>
  <si>
    <t>Государственная программа Республики Алтай «Обеспечение социальной          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</si>
  <si>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</si>
  <si>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</si>
  <si>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</si>
  <si>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</si>
  <si>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«Управление государственными финансами»</t>
  </si>
  <si>
    <t>Государственная программ Республики Алтай «Повышение качества            водоснабжения в Республике Алтай»</t>
  </si>
  <si>
    <t>Государственная программа Республики Алтай «Формирование современной городской среды»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</si>
  <si>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</si>
  <si>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Непрограммные направления деятельности</t>
  </si>
  <si>
    <t>2020 год</t>
  </si>
  <si>
    <t>всего</t>
  </si>
  <si>
    <t>без учета инвестиций</t>
  </si>
  <si>
    <t>2021 год</t>
  </si>
  <si>
    <t>Отклонение</t>
  </si>
  <si>
    <t>в том числе:</t>
  </si>
  <si>
    <t>Страховые взносы на обязательное медицинское страхование неработающего населения</t>
  </si>
  <si>
    <t>Темп роста</t>
  </si>
  <si>
    <t>Лекарственное обеспечение</t>
  </si>
  <si>
    <t>спортивные мероприятия</t>
  </si>
  <si>
    <t>Образовательный стандарт</t>
  </si>
  <si>
    <t>социальная помощь на основании социального контракта</t>
  </si>
  <si>
    <t>Реализация НП</t>
  </si>
  <si>
    <t>содержание Ледового Дворца</t>
  </si>
  <si>
    <t>социальные выплаты безработным</t>
  </si>
  <si>
    <t>пособия детям безработных граждан до 1,5 лет</t>
  </si>
  <si>
    <t xml:space="preserve">ремонт </t>
  </si>
  <si>
    <t xml:space="preserve">Индивидуальная программа </t>
  </si>
  <si>
    <t>Информирование, консультирование субъектов  инвестиционной деятельности по вопросу реализации инвестиционного проекта на территории инвестиционной площадки "Жемчужина Алтая"</t>
  </si>
  <si>
    <t>Содержание (эксплуатация) имущества и управление объектами, предназначенными для развития туризма, находящимися в государственной собственности Республики Алтай</t>
  </si>
  <si>
    <t>Эксплуатируемая площадь зданий и сооружений</t>
  </si>
  <si>
    <t xml:space="preserve">Разработка инвестиционных предложений по инвестиционным проектам </t>
  </si>
  <si>
    <t>Количество  инвестиционных предложений, направленных потенциальным инвесторам, размещенных в средствах массовой информации, специализированных электронных площадках и интернет-сайтах</t>
  </si>
  <si>
    <t xml:space="preserve">Организация деятельности рабочей группы, в рамках реализации функции единого органа управления организациями образующими инфраструктуру поддержки малого и среднего предпринимательства Республики Алтай </t>
  </si>
  <si>
    <t>Протокол  заседания рабочей группы</t>
  </si>
  <si>
    <t>Эксплуатация и сопровождение "Цифровой платформы поддержки субъектов малого и среднего предпринимательства" и информационных ресурсов, взаимосвязанных с "Цифровой платформы поддержки субъектов малого и среднего предпринимательства"</t>
  </si>
  <si>
    <t xml:space="preserve">количество сопровождаемых платформ </t>
  </si>
  <si>
    <t>Обеспечение участия лиц, проходящих спортивную подготовку, в спортивных соревнованиях</t>
  </si>
  <si>
    <t>Деятельность в области демонстрации кинофильмов</t>
  </si>
  <si>
    <t>Количество концертов</t>
  </si>
  <si>
    <t>Показ (организация показа) спектаклей</t>
  </si>
  <si>
    <t>Количество предметов музейного собрания учреждения, опубликованных удалено (через интернет) за отчетный период</t>
  </si>
  <si>
    <t>Объем тирожа</t>
  </si>
  <si>
    <t>Содержание (эксплуатация) имущества, находящегося в государтсвенной (муниципальной) собственности</t>
  </si>
  <si>
    <t>машино-день</t>
  </si>
  <si>
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 </t>
  </si>
  <si>
    <t>количество пользователей</t>
  </si>
  <si>
    <t>чел.</t>
  </si>
  <si>
    <t>количество учетных записей</t>
  </si>
  <si>
    <t>количество ИС обеспечения типовой деятельности</t>
  </si>
  <si>
    <t>количество автоматизированных мест</t>
  </si>
  <si>
    <t>количество программно-технических средств</t>
  </si>
  <si>
    <t>количество типовых компонентов</t>
  </si>
  <si>
    <t>количество ИС обеспечения специальной деятельности</t>
  </si>
  <si>
    <t>количество типовых компонентов ИТКИ</t>
  </si>
  <si>
    <t>количество ИС</t>
  </si>
  <si>
    <t>Число человеко-часов пребывания</t>
  </si>
  <si>
    <t>Реализация дополнительных общеобразовательных общеразвивающих программ, в том числе:</t>
  </si>
  <si>
    <t>Работы:</t>
  </si>
  <si>
    <t>кол-во мероприятий</t>
  </si>
  <si>
    <t>Организация мероприятий</t>
  </si>
  <si>
    <t>Обеспечение доступности дополнительного образования детей</t>
  </si>
  <si>
    <t>кол-во заочных школ</t>
  </si>
  <si>
    <t>Обеспечение функционирования целевой модели развития региональной системы дополнительного образования</t>
  </si>
  <si>
    <t>Работа:</t>
  </si>
  <si>
    <t xml:space="preserve">организация летнего отдыха детей </t>
  </si>
  <si>
    <t>численность детей учавствующих в программах отдыха и оздоровления</t>
  </si>
  <si>
    <t>чел./час</t>
  </si>
  <si>
    <t>кол-во структурных подразделений отдыха и оздоровления</t>
  </si>
  <si>
    <t>Ед.</t>
  </si>
  <si>
    <t>методическое обеспечение образовательной деятельности</t>
  </si>
  <si>
    <t>количество методических мероприятий регионального уровня</t>
  </si>
  <si>
    <t>организация и проведение массовых мероприятий</t>
  </si>
  <si>
    <t>численность граждан,принявших участие в мероприятиях</t>
  </si>
  <si>
    <t xml:space="preserve">Организационно - методическое обеспечение </t>
  </si>
  <si>
    <t xml:space="preserve">Количество курсов </t>
  </si>
  <si>
    <t>Оказание психолого-педагогической и медико социальной помощи</t>
  </si>
  <si>
    <t>Число обучающихся, их родителей(законных представителей) и педагогических работников которым оказана психолого-педагогическая и медико-социальная помощь</t>
  </si>
  <si>
    <t>челове</t>
  </si>
  <si>
    <t>Организация работы и осуществление полномочий психолого-медико-педагогической комиссии</t>
  </si>
  <si>
    <t>Число детей, прошедших психолого-медико-педагогическую комиссию</t>
  </si>
  <si>
    <t>Организация работы и контроля за исполнением мероприятий по реализации ИПРА ребенка инвалида</t>
  </si>
  <si>
    <t>Научно - методическое обеспечение аттестации педагогических работников</t>
  </si>
  <si>
    <t>Количество мероприятий</t>
  </si>
  <si>
    <t>Организационно-методическое и информационное сопровождение организаций системы образования Республики Алтай</t>
  </si>
  <si>
    <t>Работа в целом</t>
  </si>
  <si>
    <t>Организационно-методическое и информационное сопровождение образовательных организаций</t>
  </si>
  <si>
    <t>Количество отчетов составленных по результатам работы</t>
  </si>
  <si>
    <t xml:space="preserve">Оценка качества образования </t>
  </si>
  <si>
    <t>Количество проведенных мероприятий по оценке учебных достижений обучающихся общеобразовательных организаций</t>
  </si>
  <si>
    <t xml:space="preserve"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образования </t>
  </si>
  <si>
    <t>Количество записей</t>
  </si>
  <si>
    <t>численность обучающихся</t>
  </si>
  <si>
    <t>Количество человеко часов</t>
  </si>
  <si>
    <t xml:space="preserve">человеко час 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</si>
  <si>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</t>
  </si>
  <si>
    <t>количество проведенных мероприятий</t>
  </si>
  <si>
    <t>Организация и проведение мероприятий, направленных на вовлечение подростков и молодежи в добровольческую деятельность</t>
  </si>
  <si>
    <t>Число лиц, прошедших спортивную подготовку на этапах спортивной подготовки (Человек)</t>
  </si>
  <si>
    <t xml:space="preserve"> количество записей; количество информационных ресурсов и баз данных; количество отчетов </t>
  </si>
  <si>
    <t>Количество научно исследовательских работ</t>
  </si>
  <si>
    <t xml:space="preserve">Количество проведенных научных мероприятий в рамках проектов </t>
  </si>
  <si>
    <t>едница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</si>
</sst>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##\ ###\ ###\ ###\ ##0.00"/>
    <numFmt numFmtId="165" formatCode="0.0%"/>
    <numFmt numFmtId="166" formatCode="#,##0.0"/>
    <numFmt numFmtId="167" formatCode="#,##0.000"/>
    <numFmt numFmtId="168" formatCode="0.0"/>
    <numFmt numFmtId="169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Lao UI"/>
      <family val="2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8" fillId="0" borderId="0">
      <alignment vertical="top" wrapText="1"/>
    </xf>
    <xf numFmtId="43" fontId="19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justify" vertical="center"/>
    </xf>
    <xf numFmtId="166" fontId="3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15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 indent="1"/>
    </xf>
    <xf numFmtId="165" fontId="0" fillId="0" borderId="0" xfId="0" applyNumberFormat="1"/>
    <xf numFmtId="0" fontId="16" fillId="0" borderId="0" xfId="0" applyFont="1" applyAlignment="1">
      <alignment horizontal="justify"/>
    </xf>
    <xf numFmtId="166" fontId="13" fillId="0" borderId="16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2" fillId="0" borderId="0" xfId="0" applyNumberFormat="1" applyFont="1"/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4" fontId="16" fillId="0" borderId="1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 wrapText="1"/>
    </xf>
    <xf numFmtId="166" fontId="13" fillId="0" borderId="18" xfId="0" applyNumberFormat="1" applyFont="1" applyFill="1" applyBorder="1" applyAlignment="1">
      <alignment horizontal="right" vertical="top" wrapText="1"/>
    </xf>
    <xf numFmtId="166" fontId="13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8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9" fontId="3" fillId="0" borderId="1" xfId="3" applyNumberFormat="1" applyFont="1" applyBorder="1" applyAlignment="1">
      <alignment horizontal="center" wrapText="1"/>
    </xf>
    <xf numFmtId="0" fontId="7" fillId="0" borderId="1" xfId="2" applyNumberFormat="1" applyFont="1" applyFill="1" applyBorder="1" applyAlignment="1">
      <alignment horizontal="center" wrapText="1"/>
    </xf>
    <xf numFmtId="168" fontId="7" fillId="0" borderId="1" xfId="2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68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/>
    <xf numFmtId="166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justify" wrapText="1"/>
    </xf>
    <xf numFmtId="0" fontId="6" fillId="2" borderId="19" xfId="0" applyNumberFormat="1" applyFont="1" applyFill="1" applyBorder="1" applyAlignment="1">
      <alignment horizontal="justify" wrapText="1"/>
    </xf>
    <xf numFmtId="0" fontId="6" fillId="2" borderId="13" xfId="0" applyFont="1" applyFill="1" applyBorder="1" applyAlignment="1">
      <alignment horizontal="justify"/>
    </xf>
    <xf numFmtId="0" fontId="6" fillId="2" borderId="19" xfId="0" applyFont="1" applyFill="1" applyBorder="1" applyAlignment="1">
      <alignment horizontal="justify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center" wrapText="1"/>
    </xf>
    <xf numFmtId="168" fontId="3" fillId="0" borderId="3" xfId="0" applyNumberFormat="1" applyFont="1" applyBorder="1" applyAlignment="1">
      <alignment horizontal="center" wrapText="1"/>
    </xf>
    <xf numFmtId="168" fontId="3" fillId="0" borderId="4" xfId="0" applyNumberFormat="1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9" fontId="3" fillId="0" borderId="3" xfId="0" applyNumberFormat="1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justify" vertical="center" wrapText="1"/>
    </xf>
    <xf numFmtId="0" fontId="3" fillId="2" borderId="3" xfId="0" applyNumberFormat="1" applyFont="1" applyFill="1" applyBorder="1" applyAlignment="1">
      <alignment horizontal="justify" vertical="center" wrapText="1"/>
    </xf>
    <xf numFmtId="0" fontId="3" fillId="2" borderId="4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7" fillId="2" borderId="4" xfId="0" applyFont="1" applyFill="1" applyBorder="1" applyAlignment="1">
      <alignment horizontal="justify" vertic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6" fontId="3" fillId="0" borderId="4" xfId="0" applyNumberFormat="1" applyFont="1" applyFill="1" applyBorder="1" applyAlignment="1">
      <alignment horizontal="center" wrapText="1"/>
    </xf>
    <xf numFmtId="166" fontId="3" fillId="2" borderId="2" xfId="0" applyNumberFormat="1" applyFont="1" applyFill="1" applyBorder="1" applyAlignment="1">
      <alignment horizontal="center" wrapText="1"/>
    </xf>
    <xf numFmtId="166" fontId="3" fillId="2" borderId="4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9" fillId="2" borderId="5" xfId="1" applyFont="1" applyFill="1" applyBorder="1" applyAlignment="1">
      <alignment horizontal="justify" vertical="center" wrapText="1"/>
    </xf>
    <xf numFmtId="0" fontId="9" fillId="2" borderId="1" xfId="1" applyFont="1" applyFill="1" applyBorder="1" applyAlignment="1">
      <alignment wrapText="1"/>
    </xf>
    <xf numFmtId="0" fontId="9" fillId="2" borderId="1" xfId="1" applyFont="1" applyFill="1" applyBorder="1"/>
    <xf numFmtId="0" fontId="9" fillId="2" borderId="6" xfId="1" applyFont="1" applyFill="1" applyBorder="1" applyAlignment="1">
      <alignment horizontal="justify" vertical="center" wrapText="1"/>
    </xf>
    <xf numFmtId="0" fontId="9" fillId="2" borderId="7" xfId="1" applyFont="1" applyFill="1" applyBorder="1" applyAlignment="1">
      <alignment horizontal="justify" vertical="center" wrapText="1"/>
    </xf>
    <xf numFmtId="0" fontId="9" fillId="2" borderId="8" xfId="1" applyFont="1" applyFill="1" applyBorder="1" applyAlignment="1">
      <alignment horizontal="justify" wrapText="1"/>
    </xf>
    <xf numFmtId="0" fontId="9" fillId="2" borderId="8" xfId="1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0" xfId="0" applyFont="1" applyFill="1"/>
    <xf numFmtId="0" fontId="1" fillId="2" borderId="2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20" fillId="2" borderId="1" xfId="2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justify" vertical="center" wrapText="1"/>
    </xf>
    <xf numFmtId="0" fontId="21" fillId="2" borderId="1" xfId="2" applyFont="1" applyFill="1" applyBorder="1" applyAlignment="1">
      <alignment horizontal="justify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/>
    </xf>
    <xf numFmtId="3" fontId="7" fillId="2" borderId="1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5" fillId="2" borderId="0" xfId="0" applyFont="1" applyFill="1"/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8"/>
  <sheetViews>
    <sheetView tabSelected="1" topLeftCell="A202" workbookViewId="0">
      <selection activeCell="A8" sqref="A8:G224"/>
    </sheetView>
  </sheetViews>
  <sheetFormatPr defaultRowHeight="15.75" x14ac:dyDescent="0.25"/>
  <cols>
    <col min="1" max="1" width="49.7109375" style="1" customWidth="1"/>
    <col min="2" max="2" width="35" style="1" customWidth="1"/>
    <col min="3" max="3" width="9.7109375" style="1" customWidth="1"/>
    <col min="4" max="10" width="13.140625" customWidth="1"/>
    <col min="11" max="12" width="12.42578125" customWidth="1"/>
    <col min="13" max="13" width="11.7109375" customWidth="1"/>
    <col min="14" max="14" width="14.7109375" customWidth="1"/>
    <col min="15" max="15" width="13.5703125" customWidth="1"/>
  </cols>
  <sheetData>
    <row r="2" spans="1:17" x14ac:dyDescent="0.25">
      <c r="A2" s="129" t="s">
        <v>158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"/>
    </row>
    <row r="3" spans="1:17" x14ac:dyDescent="0.25">
      <c r="A3" s="129" t="s">
        <v>159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5"/>
    </row>
    <row r="5" spans="1:17" ht="120" customHeight="1" x14ac:dyDescent="0.25">
      <c r="A5" s="130" t="s">
        <v>12</v>
      </c>
      <c r="B5" s="132" t="s">
        <v>13</v>
      </c>
      <c r="C5" s="132" t="s">
        <v>11</v>
      </c>
      <c r="D5" s="8">
        <v>2019</v>
      </c>
      <c r="E5" s="8">
        <v>2020</v>
      </c>
      <c r="F5" s="127" t="s">
        <v>34</v>
      </c>
      <c r="G5" s="127"/>
      <c r="H5" s="127"/>
      <c r="I5" s="125" t="s">
        <v>163</v>
      </c>
      <c r="J5" s="125" t="s">
        <v>164</v>
      </c>
      <c r="K5" s="8">
        <v>2019</v>
      </c>
      <c r="L5" s="8">
        <v>2020</v>
      </c>
      <c r="M5" s="127" t="s">
        <v>35</v>
      </c>
      <c r="N5" s="127"/>
      <c r="O5" s="127"/>
      <c r="P5" s="125" t="s">
        <v>163</v>
      </c>
      <c r="Q5" s="125" t="s">
        <v>164</v>
      </c>
    </row>
    <row r="6" spans="1:17" ht="88.5" customHeight="1" x14ac:dyDescent="0.25">
      <c r="A6" s="131"/>
      <c r="B6" s="132"/>
      <c r="C6" s="132"/>
      <c r="D6" s="21" t="s">
        <v>23</v>
      </c>
      <c r="E6" s="21" t="s">
        <v>37</v>
      </c>
      <c r="F6" s="6" t="s">
        <v>160</v>
      </c>
      <c r="G6" s="9" t="s">
        <v>161</v>
      </c>
      <c r="H6" s="9" t="s">
        <v>162</v>
      </c>
      <c r="I6" s="126"/>
      <c r="J6" s="126"/>
      <c r="K6" s="21" t="s">
        <v>24</v>
      </c>
      <c r="L6" s="21" t="s">
        <v>22</v>
      </c>
      <c r="M6" s="6" t="s">
        <v>160</v>
      </c>
      <c r="N6" s="11" t="s">
        <v>161</v>
      </c>
      <c r="O6" s="11" t="s">
        <v>162</v>
      </c>
      <c r="P6" s="126"/>
      <c r="Q6" s="126"/>
    </row>
    <row r="7" spans="1:17" ht="46.5" customHeight="1" x14ac:dyDescent="0.25">
      <c r="A7" s="93" t="s">
        <v>30</v>
      </c>
      <c r="B7" s="94"/>
      <c r="C7" s="85"/>
      <c r="D7" s="85"/>
      <c r="E7" s="10"/>
      <c r="F7" s="10"/>
      <c r="G7" s="10"/>
      <c r="H7" s="10"/>
      <c r="I7" s="10"/>
      <c r="J7" s="10" t="s">
        <v>36</v>
      </c>
      <c r="K7" s="10"/>
      <c r="L7" s="10"/>
      <c r="M7" s="7"/>
      <c r="N7" s="7"/>
      <c r="O7" s="7"/>
      <c r="P7" s="10"/>
      <c r="Q7" s="10" t="s">
        <v>36</v>
      </c>
    </row>
    <row r="8" spans="1:17" ht="46.5" customHeight="1" x14ac:dyDescent="0.25">
      <c r="A8" s="61" t="s">
        <v>146</v>
      </c>
      <c r="B8" s="61" t="s">
        <v>119</v>
      </c>
      <c r="C8" s="86" t="s">
        <v>40</v>
      </c>
      <c r="D8" s="86">
        <v>3703</v>
      </c>
      <c r="E8" s="86">
        <v>3703</v>
      </c>
      <c r="F8" s="86">
        <v>3703</v>
      </c>
      <c r="G8" s="86">
        <v>3703</v>
      </c>
      <c r="H8" s="63">
        <v>3703</v>
      </c>
      <c r="I8" s="62">
        <f t="shared" ref="I8:I26" si="0">F8/D8</f>
        <v>1</v>
      </c>
      <c r="J8" s="62">
        <f t="shared" ref="J8:J26" si="1">F8/E8</f>
        <v>1</v>
      </c>
      <c r="K8" s="63">
        <v>3936.6</v>
      </c>
      <c r="L8" s="63">
        <v>4074.1</v>
      </c>
      <c r="M8" s="63">
        <v>4406.6000000000004</v>
      </c>
      <c r="N8" s="63">
        <v>4406.6000000000004</v>
      </c>
      <c r="O8" s="63">
        <v>4406.6000000000004</v>
      </c>
      <c r="P8" s="62">
        <f t="shared" ref="P8:P26" si="2">M8/K8</f>
        <v>1.119</v>
      </c>
      <c r="Q8" s="62">
        <f t="shared" ref="Q8:Q26" si="3">M8/L8</f>
        <v>1.0820000000000001</v>
      </c>
    </row>
    <row r="9" spans="1:17" ht="46.5" customHeight="1" x14ac:dyDescent="0.25">
      <c r="A9" s="148" t="s">
        <v>147</v>
      </c>
      <c r="B9" s="61" t="s">
        <v>246</v>
      </c>
      <c r="C9" s="86" t="s">
        <v>72</v>
      </c>
      <c r="D9" s="86"/>
      <c r="E9" s="86">
        <v>6606</v>
      </c>
      <c r="F9" s="86">
        <v>6606</v>
      </c>
      <c r="G9" s="86">
        <v>6606</v>
      </c>
      <c r="H9" s="63">
        <v>6606</v>
      </c>
      <c r="I9" s="62"/>
      <c r="J9" s="62">
        <f t="shared" si="1"/>
        <v>1</v>
      </c>
      <c r="K9" s="63"/>
      <c r="L9" s="63">
        <v>12908.5</v>
      </c>
      <c r="M9" s="63">
        <v>13145.9</v>
      </c>
      <c r="N9" s="63">
        <v>13145.9</v>
      </c>
      <c r="O9" s="63">
        <v>13145.9</v>
      </c>
      <c r="P9" s="62"/>
      <c r="Q9" s="62">
        <f t="shared" si="3"/>
        <v>1.018</v>
      </c>
    </row>
    <row r="10" spans="1:17" ht="46.5" customHeight="1" x14ac:dyDescent="0.25">
      <c r="A10" s="149"/>
      <c r="B10" s="61" t="s">
        <v>148</v>
      </c>
      <c r="C10" s="86" t="s">
        <v>40</v>
      </c>
      <c r="D10" s="86">
        <v>163</v>
      </c>
      <c r="E10" s="86"/>
      <c r="F10" s="86"/>
      <c r="G10" s="86"/>
      <c r="H10" s="63"/>
      <c r="I10" s="62">
        <f t="shared" si="0"/>
        <v>0</v>
      </c>
      <c r="J10" s="62"/>
      <c r="K10" s="63">
        <v>1727.7</v>
      </c>
      <c r="L10" s="63"/>
      <c r="M10" s="63"/>
      <c r="N10" s="63"/>
      <c r="O10" s="63"/>
      <c r="P10" s="62">
        <f t="shared" si="2"/>
        <v>0</v>
      </c>
      <c r="Q10" s="62"/>
    </row>
    <row r="11" spans="1:17" ht="46.5" customHeight="1" x14ac:dyDescent="0.25">
      <c r="A11" s="149"/>
      <c r="B11" s="61" t="s">
        <v>149</v>
      </c>
      <c r="C11" s="86" t="s">
        <v>150</v>
      </c>
      <c r="D11" s="86">
        <v>11</v>
      </c>
      <c r="E11" s="86"/>
      <c r="F11" s="86"/>
      <c r="G11" s="86"/>
      <c r="H11" s="63"/>
      <c r="I11" s="62">
        <f t="shared" si="0"/>
        <v>0</v>
      </c>
      <c r="J11" s="62"/>
      <c r="K11" s="63">
        <v>718.2</v>
      </c>
      <c r="L11" s="63"/>
      <c r="M11" s="63"/>
      <c r="N11" s="63"/>
      <c r="O11" s="63"/>
      <c r="P11" s="62">
        <f t="shared" si="2"/>
        <v>0</v>
      </c>
      <c r="Q11" s="62"/>
    </row>
    <row r="12" spans="1:17" ht="46.5" customHeight="1" x14ac:dyDescent="0.25">
      <c r="A12" s="149"/>
      <c r="B12" s="61" t="s">
        <v>151</v>
      </c>
      <c r="C12" s="86" t="s">
        <v>150</v>
      </c>
      <c r="D12" s="86">
        <v>74</v>
      </c>
      <c r="E12" s="86"/>
      <c r="F12" s="86"/>
      <c r="G12" s="86"/>
      <c r="H12" s="63"/>
      <c r="I12" s="62">
        <f t="shared" si="0"/>
        <v>0</v>
      </c>
      <c r="J12" s="62"/>
      <c r="K12" s="63">
        <v>11256.1</v>
      </c>
      <c r="L12" s="63"/>
      <c r="M12" s="63"/>
      <c r="N12" s="63"/>
      <c r="O12" s="63"/>
      <c r="P12" s="62">
        <f t="shared" si="2"/>
        <v>0</v>
      </c>
      <c r="Q12" s="62"/>
    </row>
    <row r="13" spans="1:17" ht="46.5" customHeight="1" x14ac:dyDescent="0.25">
      <c r="A13" s="149"/>
      <c r="B13" s="61" t="s">
        <v>152</v>
      </c>
      <c r="C13" s="86" t="s">
        <v>150</v>
      </c>
      <c r="D13" s="86">
        <v>243</v>
      </c>
      <c r="E13" s="86"/>
      <c r="F13" s="86"/>
      <c r="G13" s="86"/>
      <c r="H13" s="63"/>
      <c r="I13" s="62">
        <f t="shared" si="0"/>
        <v>0</v>
      </c>
      <c r="J13" s="62"/>
      <c r="K13" s="63">
        <v>1631.7</v>
      </c>
      <c r="L13" s="63"/>
      <c r="M13" s="63"/>
      <c r="N13" s="63"/>
      <c r="O13" s="63"/>
      <c r="P13" s="62">
        <f t="shared" si="2"/>
        <v>0</v>
      </c>
      <c r="Q13" s="62"/>
    </row>
    <row r="14" spans="1:17" ht="46.5" customHeight="1" x14ac:dyDescent="0.25">
      <c r="A14" s="150"/>
      <c r="B14" s="61" t="s">
        <v>153</v>
      </c>
      <c r="C14" s="86" t="s">
        <v>72</v>
      </c>
      <c r="D14" s="86">
        <v>7768</v>
      </c>
      <c r="E14" s="86"/>
      <c r="F14" s="86"/>
      <c r="G14" s="86"/>
      <c r="H14" s="63"/>
      <c r="I14" s="62">
        <f t="shared" si="0"/>
        <v>0</v>
      </c>
      <c r="J14" s="62"/>
      <c r="K14" s="63">
        <v>1049.5</v>
      </c>
      <c r="L14" s="63"/>
      <c r="M14" s="63"/>
      <c r="N14" s="63"/>
      <c r="O14" s="63"/>
      <c r="P14" s="62">
        <f t="shared" si="2"/>
        <v>0</v>
      </c>
      <c r="Q14" s="62"/>
    </row>
    <row r="15" spans="1:17" ht="46.5" customHeight="1" x14ac:dyDescent="0.25">
      <c r="A15" s="151" t="s">
        <v>247</v>
      </c>
      <c r="B15" s="61" t="s">
        <v>148</v>
      </c>
      <c r="C15" s="86" t="s">
        <v>40</v>
      </c>
      <c r="D15" s="86"/>
      <c r="E15" s="86">
        <v>120</v>
      </c>
      <c r="F15" s="86">
        <v>120</v>
      </c>
      <c r="G15" s="86">
        <v>120</v>
      </c>
      <c r="H15" s="63">
        <v>120</v>
      </c>
      <c r="I15" s="62"/>
      <c r="J15" s="62"/>
      <c r="K15" s="63"/>
      <c r="L15" s="63">
        <v>1314.3</v>
      </c>
      <c r="M15" s="63">
        <v>1176</v>
      </c>
      <c r="N15" s="63">
        <v>1176</v>
      </c>
      <c r="O15" s="63">
        <v>1176</v>
      </c>
      <c r="P15" s="62"/>
      <c r="Q15" s="62"/>
    </row>
    <row r="16" spans="1:17" ht="46.5" customHeight="1" x14ac:dyDescent="0.25">
      <c r="A16" s="61" t="s">
        <v>125</v>
      </c>
      <c r="B16" s="61" t="s">
        <v>126</v>
      </c>
      <c r="C16" s="86" t="s">
        <v>127</v>
      </c>
      <c r="D16" s="20">
        <v>0.89300000000000002</v>
      </c>
      <c r="E16" s="20">
        <v>0.89300000000000002</v>
      </c>
      <c r="F16" s="20">
        <v>0.89300000000000002</v>
      </c>
      <c r="G16" s="20">
        <v>0.89300000000000002</v>
      </c>
      <c r="H16" s="20">
        <v>0.89300000000000002</v>
      </c>
      <c r="I16" s="62">
        <f t="shared" si="0"/>
        <v>1</v>
      </c>
      <c r="J16" s="62">
        <f t="shared" si="1"/>
        <v>1</v>
      </c>
      <c r="K16" s="63">
        <v>2929.3</v>
      </c>
      <c r="L16" s="63">
        <v>5059.2</v>
      </c>
      <c r="M16" s="63">
        <v>5221.5</v>
      </c>
      <c r="N16" s="63">
        <v>5221.5</v>
      </c>
      <c r="O16" s="63">
        <v>5221.5</v>
      </c>
      <c r="P16" s="62">
        <f t="shared" si="2"/>
        <v>1.7829999999999999</v>
      </c>
      <c r="Q16" s="62">
        <f t="shared" si="3"/>
        <v>1.032</v>
      </c>
    </row>
    <row r="17" spans="1:17" ht="15" customHeight="1" x14ac:dyDescent="0.25">
      <c r="A17" s="152" t="s">
        <v>192</v>
      </c>
      <c r="B17" s="153" t="s">
        <v>193</v>
      </c>
      <c r="C17" s="154" t="s">
        <v>194</v>
      </c>
      <c r="D17" s="86">
        <v>449242</v>
      </c>
      <c r="E17" s="86">
        <v>436814</v>
      </c>
      <c r="F17" s="86">
        <v>397664</v>
      </c>
      <c r="G17" s="86">
        <v>397664</v>
      </c>
      <c r="H17" s="63">
        <v>397664</v>
      </c>
      <c r="I17" s="62">
        <f t="shared" si="0"/>
        <v>0.88500000000000001</v>
      </c>
      <c r="J17" s="62">
        <f t="shared" si="1"/>
        <v>0.91</v>
      </c>
      <c r="K17" s="63">
        <v>13526</v>
      </c>
      <c r="L17" s="63">
        <v>15306.4</v>
      </c>
      <c r="M17" s="63">
        <v>15055.8</v>
      </c>
      <c r="N17" s="63">
        <v>14354.4</v>
      </c>
      <c r="O17" s="63">
        <v>15055.8</v>
      </c>
      <c r="P17" s="62">
        <f t="shared" si="2"/>
        <v>1.113</v>
      </c>
      <c r="Q17" s="62">
        <f t="shared" si="3"/>
        <v>0.98399999999999999</v>
      </c>
    </row>
    <row r="18" spans="1:17" ht="15" x14ac:dyDescent="0.25">
      <c r="A18" s="155"/>
      <c r="B18" s="153" t="s">
        <v>195</v>
      </c>
      <c r="C18" s="154" t="s">
        <v>196</v>
      </c>
      <c r="D18" s="86">
        <v>299189</v>
      </c>
      <c r="E18" s="86">
        <v>268734</v>
      </c>
      <c r="F18" s="86">
        <v>238088</v>
      </c>
      <c r="G18" s="86">
        <v>238088</v>
      </c>
      <c r="H18" s="63">
        <v>238088</v>
      </c>
      <c r="I18" s="62">
        <f t="shared" si="0"/>
        <v>0.79600000000000004</v>
      </c>
      <c r="J18" s="62">
        <f t="shared" si="1"/>
        <v>0.88600000000000001</v>
      </c>
      <c r="K18" s="63">
        <v>5865.2</v>
      </c>
      <c r="L18" s="63">
        <v>6597.6</v>
      </c>
      <c r="M18" s="63">
        <v>6489.6</v>
      </c>
      <c r="N18" s="63">
        <v>6187.3</v>
      </c>
      <c r="O18" s="63">
        <v>6489.6</v>
      </c>
      <c r="P18" s="62">
        <f t="shared" si="2"/>
        <v>1.1060000000000001</v>
      </c>
      <c r="Q18" s="62">
        <f t="shared" si="3"/>
        <v>0.98399999999999999</v>
      </c>
    </row>
    <row r="19" spans="1:17" ht="15" x14ac:dyDescent="0.25">
      <c r="A19" s="156"/>
      <c r="B19" s="153" t="s">
        <v>197</v>
      </c>
      <c r="C19" s="154" t="s">
        <v>198</v>
      </c>
      <c r="D19" s="86">
        <v>4546</v>
      </c>
      <c r="E19" s="86">
        <v>4570</v>
      </c>
      <c r="F19" s="86">
        <v>4570</v>
      </c>
      <c r="G19" s="86">
        <v>4570</v>
      </c>
      <c r="H19" s="63">
        <v>4570</v>
      </c>
      <c r="I19" s="62">
        <f t="shared" si="0"/>
        <v>1.0049999999999999</v>
      </c>
      <c r="J19" s="62">
        <f t="shared" si="1"/>
        <v>1</v>
      </c>
      <c r="K19" s="63">
        <v>4548.5</v>
      </c>
      <c r="L19" s="63">
        <v>5014.2</v>
      </c>
      <c r="M19" s="63">
        <v>4932.1000000000004</v>
      </c>
      <c r="N19" s="63">
        <v>4702.3</v>
      </c>
      <c r="O19" s="63">
        <v>4932.1000000000004</v>
      </c>
      <c r="P19" s="62">
        <f t="shared" si="2"/>
        <v>1.0840000000000001</v>
      </c>
      <c r="Q19" s="62">
        <f t="shared" si="3"/>
        <v>0.98399999999999999</v>
      </c>
    </row>
    <row r="20" spans="1:17" ht="15" customHeight="1" x14ac:dyDescent="0.25">
      <c r="A20" s="152" t="s">
        <v>209</v>
      </c>
      <c r="B20" s="153" t="s">
        <v>197</v>
      </c>
      <c r="C20" s="154" t="s">
        <v>198</v>
      </c>
      <c r="D20" s="86">
        <v>8115</v>
      </c>
      <c r="E20" s="86">
        <v>10398</v>
      </c>
      <c r="F20" s="86">
        <v>9600</v>
      </c>
      <c r="G20" s="86">
        <v>9600</v>
      </c>
      <c r="H20" s="63">
        <v>9600</v>
      </c>
      <c r="I20" s="62">
        <f t="shared" si="0"/>
        <v>1.1830000000000001</v>
      </c>
      <c r="J20" s="62">
        <f t="shared" si="1"/>
        <v>0.92300000000000004</v>
      </c>
      <c r="K20" s="63">
        <v>6718.8</v>
      </c>
      <c r="L20" s="63">
        <v>7785.2</v>
      </c>
      <c r="M20" s="63">
        <v>7657.7</v>
      </c>
      <c r="N20" s="63">
        <v>7300.9</v>
      </c>
      <c r="O20" s="63">
        <v>7657.7</v>
      </c>
      <c r="P20" s="62">
        <f t="shared" si="2"/>
        <v>1.1399999999999999</v>
      </c>
      <c r="Q20" s="62">
        <f t="shared" si="3"/>
        <v>0.98399999999999999</v>
      </c>
    </row>
    <row r="21" spans="1:17" ht="15" x14ac:dyDescent="0.25">
      <c r="A21" s="156"/>
      <c r="B21" s="153" t="s">
        <v>208</v>
      </c>
      <c r="C21" s="154" t="s">
        <v>196</v>
      </c>
      <c r="D21" s="86">
        <v>549219</v>
      </c>
      <c r="E21" s="86">
        <v>420179</v>
      </c>
      <c r="F21" s="86">
        <v>400786</v>
      </c>
      <c r="G21" s="86">
        <v>400786</v>
      </c>
      <c r="H21" s="63">
        <v>400786</v>
      </c>
      <c r="I21" s="62">
        <f t="shared" si="0"/>
        <v>0.73</v>
      </c>
      <c r="J21" s="62">
        <f t="shared" si="1"/>
        <v>0.95399999999999996</v>
      </c>
      <c r="K21" s="63">
        <v>23410.3</v>
      </c>
      <c r="L21" s="63">
        <v>27710.1</v>
      </c>
      <c r="M21" s="63">
        <v>27256.2</v>
      </c>
      <c r="N21" s="63">
        <v>25986.5</v>
      </c>
      <c r="O21" s="63">
        <v>27256.2</v>
      </c>
      <c r="P21" s="62">
        <f t="shared" si="2"/>
        <v>1.1639999999999999</v>
      </c>
      <c r="Q21" s="62">
        <f t="shared" si="3"/>
        <v>0.98399999999999999</v>
      </c>
    </row>
    <row r="22" spans="1:17" ht="39" customHeight="1" x14ac:dyDescent="0.25">
      <c r="A22" s="152" t="s">
        <v>199</v>
      </c>
      <c r="B22" s="153" t="s">
        <v>197</v>
      </c>
      <c r="C22" s="154" t="s">
        <v>198</v>
      </c>
      <c r="D22" s="86">
        <v>9219</v>
      </c>
      <c r="E22" s="86">
        <v>10205</v>
      </c>
      <c r="F22" s="86">
        <v>9300</v>
      </c>
      <c r="G22" s="86">
        <v>9300</v>
      </c>
      <c r="H22" s="63">
        <v>9300</v>
      </c>
      <c r="I22" s="62">
        <f t="shared" si="0"/>
        <v>1.0089999999999999</v>
      </c>
      <c r="J22" s="62">
        <f t="shared" si="1"/>
        <v>0.91100000000000003</v>
      </c>
      <c r="K22" s="63">
        <v>6525.6</v>
      </c>
      <c r="L22" s="63">
        <v>6729.6</v>
      </c>
      <c r="M22" s="63">
        <v>6619.4</v>
      </c>
      <c r="N22" s="63">
        <v>6311</v>
      </c>
      <c r="O22" s="63">
        <v>6619.4</v>
      </c>
      <c r="P22" s="62">
        <f t="shared" si="2"/>
        <v>1.014</v>
      </c>
      <c r="Q22" s="62">
        <f t="shared" si="3"/>
        <v>0.98399999999999999</v>
      </c>
    </row>
    <row r="23" spans="1:17" ht="28.5" customHeight="1" x14ac:dyDescent="0.25">
      <c r="A23" s="156"/>
      <c r="B23" s="153" t="s">
        <v>200</v>
      </c>
      <c r="C23" s="154" t="s">
        <v>201</v>
      </c>
      <c r="D23" s="86">
        <v>1750724</v>
      </c>
      <c r="E23" s="86">
        <v>1659035</v>
      </c>
      <c r="F23" s="86">
        <v>1453514</v>
      </c>
      <c r="G23" s="86">
        <v>1453514</v>
      </c>
      <c r="H23" s="63">
        <v>1453514</v>
      </c>
      <c r="I23" s="62">
        <f t="shared" si="0"/>
        <v>0.83</v>
      </c>
      <c r="J23" s="62">
        <f t="shared" si="1"/>
        <v>0.876</v>
      </c>
      <c r="K23" s="63">
        <v>23136.400000000001</v>
      </c>
      <c r="L23" s="63">
        <v>26390.5</v>
      </c>
      <c r="M23" s="63">
        <v>25958.2</v>
      </c>
      <c r="N23" s="63">
        <v>24749.1</v>
      </c>
      <c r="O23" s="63">
        <v>25958.2</v>
      </c>
      <c r="P23" s="62">
        <f t="shared" si="2"/>
        <v>1.1220000000000001</v>
      </c>
      <c r="Q23" s="62">
        <f t="shared" si="3"/>
        <v>0.98399999999999999</v>
      </c>
    </row>
    <row r="24" spans="1:17" ht="33.75" customHeight="1" x14ac:dyDescent="0.25">
      <c r="A24" s="152" t="s">
        <v>202</v>
      </c>
      <c r="B24" s="153" t="s">
        <v>197</v>
      </c>
      <c r="C24" s="154" t="s">
        <v>198</v>
      </c>
      <c r="D24" s="86">
        <v>44</v>
      </c>
      <c r="E24" s="86">
        <v>44</v>
      </c>
      <c r="F24" s="86">
        <v>44</v>
      </c>
      <c r="G24" s="86">
        <v>44</v>
      </c>
      <c r="H24" s="63">
        <v>44</v>
      </c>
      <c r="I24" s="62">
        <f t="shared" si="0"/>
        <v>1</v>
      </c>
      <c r="J24" s="62">
        <f t="shared" si="1"/>
        <v>1</v>
      </c>
      <c r="K24" s="63">
        <v>184.8</v>
      </c>
      <c r="L24" s="63">
        <v>263.89999999999998</v>
      </c>
      <c r="M24" s="63">
        <v>259.60000000000002</v>
      </c>
      <c r="N24" s="63">
        <v>247.5</v>
      </c>
      <c r="O24" s="63">
        <v>259.60000000000002</v>
      </c>
      <c r="P24" s="62">
        <f t="shared" si="2"/>
        <v>1.405</v>
      </c>
      <c r="Q24" s="62">
        <f t="shared" si="3"/>
        <v>0.98399999999999999</v>
      </c>
    </row>
    <row r="25" spans="1:17" ht="35.25" customHeight="1" x14ac:dyDescent="0.25">
      <c r="A25" s="156"/>
      <c r="B25" s="153" t="s">
        <v>200</v>
      </c>
      <c r="C25" s="154" t="s">
        <v>201</v>
      </c>
      <c r="D25" s="86">
        <v>1705</v>
      </c>
      <c r="E25" s="86">
        <v>1700</v>
      </c>
      <c r="F25" s="86">
        <v>1700</v>
      </c>
      <c r="G25" s="86">
        <v>1700</v>
      </c>
      <c r="H25" s="63">
        <v>1700</v>
      </c>
      <c r="I25" s="62">
        <f t="shared" si="0"/>
        <v>0.997</v>
      </c>
      <c r="J25" s="62">
        <f t="shared" si="1"/>
        <v>1</v>
      </c>
      <c r="K25" s="63">
        <v>632.70000000000005</v>
      </c>
      <c r="L25" s="63">
        <v>659.8</v>
      </c>
      <c r="M25" s="63">
        <v>648.9</v>
      </c>
      <c r="N25" s="63">
        <v>618.70000000000005</v>
      </c>
      <c r="O25" s="63">
        <v>648.9</v>
      </c>
      <c r="P25" s="62">
        <f t="shared" si="2"/>
        <v>1.026</v>
      </c>
      <c r="Q25" s="62">
        <f t="shared" si="3"/>
        <v>0.98299999999999998</v>
      </c>
    </row>
    <row r="26" spans="1:17" ht="69" customHeight="1" x14ac:dyDescent="0.25">
      <c r="A26" s="157" t="s">
        <v>203</v>
      </c>
      <c r="B26" s="153" t="s">
        <v>197</v>
      </c>
      <c r="C26" s="154" t="s">
        <v>198</v>
      </c>
      <c r="D26" s="86">
        <v>1504</v>
      </c>
      <c r="E26" s="86">
        <v>1499</v>
      </c>
      <c r="F26" s="86">
        <v>1480</v>
      </c>
      <c r="G26" s="86">
        <v>1480</v>
      </c>
      <c r="H26" s="63">
        <v>1480</v>
      </c>
      <c r="I26" s="62">
        <f t="shared" si="0"/>
        <v>0.98399999999999999</v>
      </c>
      <c r="J26" s="62">
        <f t="shared" si="1"/>
        <v>0.98699999999999999</v>
      </c>
      <c r="K26" s="63">
        <v>8910.2999999999993</v>
      </c>
      <c r="L26" s="63">
        <v>9236.7000000000007</v>
      </c>
      <c r="M26" s="63">
        <v>9085.4</v>
      </c>
      <c r="N26" s="63">
        <v>8662.2000000000007</v>
      </c>
      <c r="O26" s="63">
        <v>9085.4</v>
      </c>
      <c r="P26" s="62">
        <f t="shared" si="2"/>
        <v>1.02</v>
      </c>
      <c r="Q26" s="62">
        <f t="shared" si="3"/>
        <v>0.98399999999999999</v>
      </c>
    </row>
    <row r="27" spans="1:17" ht="30" x14ac:dyDescent="0.25">
      <c r="A27" s="158" t="s">
        <v>204</v>
      </c>
      <c r="B27" s="153" t="s">
        <v>205</v>
      </c>
      <c r="C27" s="154" t="s">
        <v>198</v>
      </c>
      <c r="D27" s="86">
        <v>608</v>
      </c>
      <c r="E27" s="86">
        <v>610</v>
      </c>
      <c r="F27" s="86">
        <v>610</v>
      </c>
      <c r="G27" s="86">
        <v>610</v>
      </c>
      <c r="H27" s="63">
        <v>610</v>
      </c>
      <c r="I27" s="62">
        <f t="shared" ref="I27:I57" si="4">F27/D27</f>
        <v>1.0029999999999999</v>
      </c>
      <c r="J27" s="62">
        <f t="shared" ref="J27" si="5">F27/E27</f>
        <v>1</v>
      </c>
      <c r="K27" s="63">
        <v>6446.2</v>
      </c>
      <c r="L27" s="63">
        <v>6861.5</v>
      </c>
      <c r="M27" s="63">
        <v>6749.1</v>
      </c>
      <c r="N27" s="63">
        <v>6434.8</v>
      </c>
      <c r="O27" s="63">
        <v>6749.1</v>
      </c>
      <c r="P27" s="62">
        <f t="shared" ref="P27:P57" si="6">M27/K27</f>
        <v>1.0469999999999999</v>
      </c>
      <c r="Q27" s="62">
        <f t="shared" ref="Q27" si="7">M27/L27</f>
        <v>0.98399999999999999</v>
      </c>
    </row>
    <row r="28" spans="1:17" ht="30" x14ac:dyDescent="0.25">
      <c r="A28" s="158" t="s">
        <v>38</v>
      </c>
      <c r="B28" s="153" t="s">
        <v>197</v>
      </c>
      <c r="C28" s="154" t="s">
        <v>198</v>
      </c>
      <c r="D28" s="86">
        <v>28765</v>
      </c>
      <c r="E28" s="86">
        <v>30800</v>
      </c>
      <c r="F28" s="86">
        <v>30800</v>
      </c>
      <c r="G28" s="86">
        <v>30800</v>
      </c>
      <c r="H28" s="63">
        <v>30800</v>
      </c>
      <c r="I28" s="62">
        <f t="shared" ref="I28" si="8">F28/D28</f>
        <v>1.071</v>
      </c>
      <c r="J28" s="62">
        <f t="shared" ref="J28" si="9">F28/E28</f>
        <v>1</v>
      </c>
      <c r="K28" s="63">
        <v>9961.2999999999993</v>
      </c>
      <c r="L28" s="63">
        <v>11875.7</v>
      </c>
      <c r="M28" s="63">
        <v>11681.2</v>
      </c>
      <c r="N28" s="63">
        <v>11137.1</v>
      </c>
      <c r="O28" s="63">
        <v>11681.2</v>
      </c>
      <c r="P28" s="62">
        <f t="shared" ref="P28:P30" si="10">M28/K28</f>
        <v>1.173</v>
      </c>
      <c r="Q28" s="62">
        <f t="shared" ref="Q28:Q30" si="11">M28/L28</f>
        <v>0.98399999999999999</v>
      </c>
    </row>
    <row r="29" spans="1:17" ht="25.5" customHeight="1" x14ac:dyDescent="0.25">
      <c r="A29" s="152" t="s">
        <v>206</v>
      </c>
      <c r="B29" s="153" t="s">
        <v>195</v>
      </c>
      <c r="C29" s="154" t="s">
        <v>207</v>
      </c>
      <c r="D29" s="86">
        <v>1815</v>
      </c>
      <c r="E29" s="86">
        <v>1815</v>
      </c>
      <c r="F29" s="86">
        <v>1815</v>
      </c>
      <c r="G29" s="86">
        <v>1815</v>
      </c>
      <c r="H29" s="63">
        <v>1815</v>
      </c>
      <c r="I29" s="62">
        <f t="shared" ref="I29" si="12">F29/D29</f>
        <v>1</v>
      </c>
      <c r="J29" s="62">
        <f t="shared" ref="J29" si="13">F29/E29</f>
        <v>1</v>
      </c>
      <c r="K29" s="63">
        <v>1901.2</v>
      </c>
      <c r="L29" s="63">
        <v>1979.3</v>
      </c>
      <c r="M29" s="63">
        <v>1946.8</v>
      </c>
      <c r="N29" s="63">
        <v>1856.2</v>
      </c>
      <c r="O29" s="63">
        <v>1946.8</v>
      </c>
      <c r="P29" s="62">
        <f t="shared" si="10"/>
        <v>1.024</v>
      </c>
      <c r="Q29" s="62">
        <f t="shared" si="11"/>
        <v>0.98399999999999999</v>
      </c>
    </row>
    <row r="30" spans="1:17" ht="34.5" customHeight="1" x14ac:dyDescent="0.25">
      <c r="A30" s="156"/>
      <c r="B30" s="153" t="s">
        <v>208</v>
      </c>
      <c r="C30" s="154" t="s">
        <v>196</v>
      </c>
      <c r="D30" s="86">
        <v>1830</v>
      </c>
      <c r="E30" s="86">
        <v>1830</v>
      </c>
      <c r="F30" s="86">
        <v>1830</v>
      </c>
      <c r="G30" s="86">
        <v>1830</v>
      </c>
      <c r="H30" s="63">
        <v>1830</v>
      </c>
      <c r="I30" s="62">
        <f t="shared" ref="I30" si="14">F30/D30</f>
        <v>1</v>
      </c>
      <c r="J30" s="62">
        <f t="shared" ref="J30" si="15">F30/E30</f>
        <v>1</v>
      </c>
      <c r="K30" s="63">
        <v>5012.1000000000004</v>
      </c>
      <c r="L30" s="63">
        <v>5542.1</v>
      </c>
      <c r="M30" s="63">
        <v>5451.2</v>
      </c>
      <c r="N30" s="63">
        <v>5197.3</v>
      </c>
      <c r="O30" s="63">
        <v>5451.2</v>
      </c>
      <c r="P30" s="62">
        <f t="shared" si="10"/>
        <v>1.0880000000000001</v>
      </c>
      <c r="Q30" s="62">
        <f t="shared" si="11"/>
        <v>0.98399999999999999</v>
      </c>
    </row>
    <row r="31" spans="1:17" ht="48" customHeight="1" x14ac:dyDescent="0.25">
      <c r="A31" s="91" t="s">
        <v>32</v>
      </c>
      <c r="B31" s="92"/>
      <c r="C31" s="84"/>
      <c r="D31" s="12"/>
      <c r="E31" s="12"/>
      <c r="F31" s="12"/>
      <c r="G31" s="12"/>
      <c r="H31" s="12"/>
      <c r="I31" s="62"/>
      <c r="J31" s="62"/>
      <c r="K31" s="7"/>
      <c r="L31" s="7"/>
      <c r="M31" s="7"/>
      <c r="N31" s="7"/>
      <c r="O31" s="7"/>
      <c r="P31" s="62"/>
      <c r="Q31" s="62"/>
    </row>
    <row r="32" spans="1:17" ht="48" customHeight="1" x14ac:dyDescent="0.25">
      <c r="A32" s="61" t="s">
        <v>43</v>
      </c>
      <c r="B32" s="61" t="s">
        <v>42</v>
      </c>
      <c r="C32" s="17" t="s">
        <v>40</v>
      </c>
      <c r="D32" s="86">
        <v>24</v>
      </c>
      <c r="E32" s="86">
        <v>24</v>
      </c>
      <c r="F32" s="86"/>
      <c r="G32" s="86"/>
      <c r="H32" s="63"/>
      <c r="I32" s="62">
        <f t="shared" si="4"/>
        <v>0</v>
      </c>
      <c r="J32" s="62">
        <f t="shared" ref="J32:J55" si="16">F32/E32</f>
        <v>0</v>
      </c>
      <c r="K32" s="63">
        <v>997.6</v>
      </c>
      <c r="L32" s="63">
        <v>1531.6</v>
      </c>
      <c r="M32" s="63"/>
      <c r="N32" s="63"/>
      <c r="O32" s="63"/>
      <c r="P32" s="62">
        <f t="shared" si="6"/>
        <v>0</v>
      </c>
      <c r="Q32" s="62">
        <f t="shared" ref="Q32:Q55" si="17">M32/L32</f>
        <v>0</v>
      </c>
    </row>
    <row r="33" spans="1:17" ht="66.75" customHeight="1" x14ac:dyDescent="0.25">
      <c r="A33" s="61" t="s">
        <v>44</v>
      </c>
      <c r="B33" s="61" t="s">
        <v>45</v>
      </c>
      <c r="C33" s="17" t="s">
        <v>40</v>
      </c>
      <c r="D33" s="86">
        <v>420939</v>
      </c>
      <c r="E33" s="86">
        <v>465393</v>
      </c>
      <c r="F33" s="86">
        <v>425519</v>
      </c>
      <c r="G33" s="86">
        <v>425519</v>
      </c>
      <c r="H33" s="63">
        <v>425519</v>
      </c>
      <c r="I33" s="62">
        <f t="shared" si="4"/>
        <v>1.0109999999999999</v>
      </c>
      <c r="J33" s="62">
        <f t="shared" si="16"/>
        <v>0.91400000000000003</v>
      </c>
      <c r="K33" s="63">
        <v>56484.9</v>
      </c>
      <c r="L33" s="63">
        <v>61149.7</v>
      </c>
      <c r="M33" s="63">
        <v>61578.5</v>
      </c>
      <c r="N33" s="63">
        <v>54672.800000000003</v>
      </c>
      <c r="O33" s="63">
        <v>54672.800000000003</v>
      </c>
      <c r="P33" s="62">
        <f t="shared" si="6"/>
        <v>1.0900000000000001</v>
      </c>
      <c r="Q33" s="62">
        <f t="shared" si="17"/>
        <v>1.0069999999999999</v>
      </c>
    </row>
    <row r="34" spans="1:17" ht="41.25" customHeight="1" x14ac:dyDescent="0.25">
      <c r="A34" s="159" t="s">
        <v>46</v>
      </c>
      <c r="B34" s="61" t="s">
        <v>47</v>
      </c>
      <c r="C34" s="17" t="s">
        <v>40</v>
      </c>
      <c r="D34" s="86">
        <v>25</v>
      </c>
      <c r="E34" s="86">
        <v>16</v>
      </c>
      <c r="F34" s="86">
        <v>18</v>
      </c>
      <c r="G34" s="86">
        <v>18</v>
      </c>
      <c r="H34" s="63">
        <v>18</v>
      </c>
      <c r="I34" s="62">
        <f t="shared" si="4"/>
        <v>0.72</v>
      </c>
      <c r="J34" s="62">
        <f t="shared" si="16"/>
        <v>1.125</v>
      </c>
      <c r="K34" s="119">
        <v>6639.8</v>
      </c>
      <c r="L34" s="63">
        <v>2074.8000000000002</v>
      </c>
      <c r="M34" s="63">
        <v>16595</v>
      </c>
      <c r="N34" s="63">
        <v>16595</v>
      </c>
      <c r="O34" s="63">
        <v>16595</v>
      </c>
      <c r="P34" s="62">
        <f t="shared" ref="P34" si="18">M34/K34</f>
        <v>2.4990000000000001</v>
      </c>
      <c r="Q34" s="62">
        <f t="shared" ref="Q34" si="19">M34/L34</f>
        <v>7.9980000000000002</v>
      </c>
    </row>
    <row r="35" spans="1:17" ht="30.75" customHeight="1" x14ac:dyDescent="0.25">
      <c r="A35" s="160"/>
      <c r="B35" s="61" t="s">
        <v>48</v>
      </c>
      <c r="C35" s="17" t="s">
        <v>49</v>
      </c>
      <c r="D35" s="86">
        <v>299.7</v>
      </c>
      <c r="E35" s="86"/>
      <c r="F35" s="86"/>
      <c r="G35" s="86"/>
      <c r="H35" s="63"/>
      <c r="I35" s="62">
        <f t="shared" si="4"/>
        <v>0</v>
      </c>
      <c r="J35" s="62"/>
      <c r="K35" s="120"/>
      <c r="L35" s="63"/>
      <c r="M35" s="63"/>
      <c r="N35" s="63"/>
      <c r="O35" s="63"/>
      <c r="P35" s="62"/>
      <c r="Q35" s="62"/>
    </row>
    <row r="36" spans="1:17" ht="73.5" customHeight="1" x14ac:dyDescent="0.25">
      <c r="A36" s="61" t="s">
        <v>50</v>
      </c>
      <c r="B36" s="61" t="s">
        <v>0</v>
      </c>
      <c r="C36" s="17" t="s">
        <v>40</v>
      </c>
      <c r="D36" s="86">
        <v>1</v>
      </c>
      <c r="E36" s="86">
        <v>1</v>
      </c>
      <c r="F36" s="86"/>
      <c r="G36" s="86"/>
      <c r="H36" s="63"/>
      <c r="I36" s="62">
        <f t="shared" si="4"/>
        <v>0</v>
      </c>
      <c r="J36" s="62">
        <f t="shared" si="16"/>
        <v>0</v>
      </c>
      <c r="K36" s="63">
        <v>1237.0999999999999</v>
      </c>
      <c r="L36" s="63">
        <v>1449.4</v>
      </c>
      <c r="M36" s="63"/>
      <c r="N36" s="63">
        <v>990</v>
      </c>
      <c r="O36" s="63">
        <v>1170</v>
      </c>
      <c r="P36" s="62">
        <f t="shared" si="6"/>
        <v>0</v>
      </c>
      <c r="Q36" s="62">
        <f t="shared" si="17"/>
        <v>0</v>
      </c>
    </row>
    <row r="37" spans="1:17" ht="48" customHeight="1" x14ac:dyDescent="0.25">
      <c r="A37" s="61" t="s">
        <v>51</v>
      </c>
      <c r="B37" s="61" t="s">
        <v>52</v>
      </c>
      <c r="C37" s="17" t="s">
        <v>40</v>
      </c>
      <c r="D37" s="86">
        <v>30</v>
      </c>
      <c r="E37" s="86"/>
      <c r="F37" s="86"/>
      <c r="G37" s="86"/>
      <c r="H37" s="63"/>
      <c r="I37" s="62">
        <f t="shared" si="4"/>
        <v>0</v>
      </c>
      <c r="J37" s="62"/>
      <c r="K37" s="63">
        <v>5520</v>
      </c>
      <c r="L37" s="63"/>
      <c r="M37" s="63"/>
      <c r="N37" s="63"/>
      <c r="O37" s="63"/>
      <c r="P37" s="62">
        <f t="shared" si="6"/>
        <v>0</v>
      </c>
      <c r="Q37" s="62"/>
    </row>
    <row r="38" spans="1:17" ht="59.25" customHeight="1" x14ac:dyDescent="0.25">
      <c r="A38" s="61" t="s">
        <v>290</v>
      </c>
      <c r="B38" s="61" t="s">
        <v>61</v>
      </c>
      <c r="C38" s="17" t="s">
        <v>40</v>
      </c>
      <c r="D38" s="86"/>
      <c r="E38" s="86">
        <v>30</v>
      </c>
      <c r="F38" s="86">
        <v>30</v>
      </c>
      <c r="G38" s="86">
        <v>30</v>
      </c>
      <c r="H38" s="63">
        <v>30</v>
      </c>
      <c r="I38" s="62"/>
      <c r="J38" s="62">
        <f t="shared" si="16"/>
        <v>1</v>
      </c>
      <c r="K38" s="63"/>
      <c r="L38" s="63">
        <v>5520.1</v>
      </c>
      <c r="M38" s="63">
        <v>5123.7</v>
      </c>
      <c r="N38" s="63">
        <v>703.7</v>
      </c>
      <c r="O38" s="63">
        <v>703.7</v>
      </c>
      <c r="P38" s="62"/>
      <c r="Q38" s="62">
        <f t="shared" si="17"/>
        <v>0.92800000000000005</v>
      </c>
    </row>
    <row r="39" spans="1:17" ht="33" customHeight="1" x14ac:dyDescent="0.25">
      <c r="A39" s="61" t="s">
        <v>254</v>
      </c>
      <c r="B39" s="61" t="s">
        <v>255</v>
      </c>
      <c r="C39" s="17" t="s">
        <v>40</v>
      </c>
      <c r="D39" s="86">
        <v>389</v>
      </c>
      <c r="E39" s="86"/>
      <c r="F39" s="86"/>
      <c r="G39" s="86"/>
      <c r="H39" s="63"/>
      <c r="I39" s="62">
        <f t="shared" si="4"/>
        <v>0</v>
      </c>
      <c r="J39" s="62"/>
      <c r="K39" s="63">
        <v>1316.4</v>
      </c>
      <c r="L39" s="63"/>
      <c r="M39" s="63"/>
      <c r="N39" s="63"/>
      <c r="O39" s="63"/>
      <c r="P39" s="62">
        <f t="shared" si="6"/>
        <v>0</v>
      </c>
      <c r="Q39" s="62"/>
    </row>
    <row r="40" spans="1:17" ht="64.5" customHeight="1" x14ac:dyDescent="0.25">
      <c r="A40" s="61" t="s">
        <v>291</v>
      </c>
      <c r="B40" s="61" t="s">
        <v>292</v>
      </c>
      <c r="C40" s="17" t="s">
        <v>49</v>
      </c>
      <c r="D40" s="86"/>
      <c r="E40" s="86">
        <v>5152</v>
      </c>
      <c r="F40" s="86">
        <v>5152</v>
      </c>
      <c r="G40" s="86">
        <v>5152</v>
      </c>
      <c r="H40" s="63">
        <v>5152</v>
      </c>
      <c r="I40" s="62"/>
      <c r="J40" s="62">
        <f t="shared" si="16"/>
        <v>1</v>
      </c>
      <c r="K40" s="63"/>
      <c r="L40" s="63">
        <v>21631.1</v>
      </c>
      <c r="M40" s="63">
        <v>17586.400000000001</v>
      </c>
      <c r="N40" s="63">
        <v>17586.400000000001</v>
      </c>
      <c r="O40" s="63">
        <v>17586.400000000001</v>
      </c>
      <c r="P40" s="62"/>
      <c r="Q40" s="62">
        <f t="shared" si="17"/>
        <v>0.81299999999999994</v>
      </c>
    </row>
    <row r="41" spans="1:17" ht="101.25" customHeight="1" x14ac:dyDescent="0.25">
      <c r="A41" s="61" t="s">
        <v>293</v>
      </c>
      <c r="B41" s="61" t="s">
        <v>294</v>
      </c>
      <c r="C41" s="17" t="s">
        <v>40</v>
      </c>
      <c r="D41" s="86"/>
      <c r="E41" s="86">
        <v>5</v>
      </c>
      <c r="F41" s="86">
        <v>5</v>
      </c>
      <c r="G41" s="86">
        <v>5</v>
      </c>
      <c r="H41" s="63">
        <v>5</v>
      </c>
      <c r="I41" s="62"/>
      <c r="J41" s="62">
        <f t="shared" si="16"/>
        <v>1</v>
      </c>
      <c r="K41" s="63"/>
      <c r="L41" s="63">
        <v>300</v>
      </c>
      <c r="M41" s="63">
        <v>300</v>
      </c>
      <c r="N41" s="63">
        <v>300</v>
      </c>
      <c r="O41" s="63">
        <v>300</v>
      </c>
      <c r="P41" s="62"/>
      <c r="Q41" s="62">
        <f t="shared" si="17"/>
        <v>1</v>
      </c>
    </row>
    <row r="42" spans="1:17" ht="48" customHeight="1" x14ac:dyDescent="0.25">
      <c r="A42" s="61" t="s">
        <v>53</v>
      </c>
      <c r="B42" s="61" t="s">
        <v>54</v>
      </c>
      <c r="C42" s="17" t="s">
        <v>40</v>
      </c>
      <c r="D42" s="86">
        <v>843</v>
      </c>
      <c r="E42" s="86">
        <v>480</v>
      </c>
      <c r="F42" s="86"/>
      <c r="G42" s="86"/>
      <c r="H42" s="63"/>
      <c r="I42" s="62">
        <f t="shared" si="4"/>
        <v>0</v>
      </c>
      <c r="J42" s="62">
        <f t="shared" si="16"/>
        <v>0</v>
      </c>
      <c r="K42" s="63">
        <v>1497.2</v>
      </c>
      <c r="L42" s="63">
        <v>2518.3000000000002</v>
      </c>
      <c r="M42" s="63"/>
      <c r="N42" s="63"/>
      <c r="O42" s="63"/>
      <c r="P42" s="62">
        <f t="shared" si="6"/>
        <v>0</v>
      </c>
      <c r="Q42" s="62">
        <f t="shared" si="17"/>
        <v>0</v>
      </c>
    </row>
    <row r="43" spans="1:17" ht="74.25" customHeight="1" x14ac:dyDescent="0.25">
      <c r="A43" s="61" t="s">
        <v>295</v>
      </c>
      <c r="B43" s="61" t="s">
        <v>296</v>
      </c>
      <c r="C43" s="17" t="s">
        <v>40</v>
      </c>
      <c r="D43" s="86"/>
      <c r="E43" s="86"/>
      <c r="F43" s="86">
        <v>12</v>
      </c>
      <c r="G43" s="86">
        <v>12</v>
      </c>
      <c r="H43" s="63">
        <v>12</v>
      </c>
      <c r="I43" s="62"/>
      <c r="J43" s="62"/>
      <c r="K43" s="63"/>
      <c r="L43" s="63"/>
      <c r="M43" s="63">
        <v>400</v>
      </c>
      <c r="N43" s="63">
        <v>400</v>
      </c>
      <c r="O43" s="63">
        <v>400</v>
      </c>
      <c r="P43" s="62"/>
      <c r="Q43" s="62"/>
    </row>
    <row r="44" spans="1:17" ht="81" customHeight="1" x14ac:dyDescent="0.25">
      <c r="A44" s="61" t="s">
        <v>297</v>
      </c>
      <c r="B44" s="61" t="s">
        <v>298</v>
      </c>
      <c r="C44" s="17" t="s">
        <v>40</v>
      </c>
      <c r="D44" s="86"/>
      <c r="E44" s="86"/>
      <c r="F44" s="86">
        <v>1</v>
      </c>
      <c r="G44" s="86">
        <v>1</v>
      </c>
      <c r="H44" s="63">
        <v>1</v>
      </c>
      <c r="I44" s="62"/>
      <c r="J44" s="62"/>
      <c r="K44" s="63"/>
      <c r="L44" s="63"/>
      <c r="M44" s="63">
        <v>325</v>
      </c>
      <c r="N44" s="63">
        <v>325</v>
      </c>
      <c r="O44" s="63">
        <v>325</v>
      </c>
      <c r="P44" s="62"/>
      <c r="Q44" s="62"/>
    </row>
    <row r="45" spans="1:17" ht="48" customHeight="1" x14ac:dyDescent="0.25">
      <c r="A45" s="61" t="s">
        <v>55</v>
      </c>
      <c r="B45" s="61" t="s">
        <v>56</v>
      </c>
      <c r="C45" s="17" t="s">
        <v>40</v>
      </c>
      <c r="D45" s="86">
        <v>10</v>
      </c>
      <c r="E45" s="86">
        <v>10</v>
      </c>
      <c r="F45" s="86"/>
      <c r="G45" s="86"/>
      <c r="H45" s="63"/>
      <c r="I45" s="62">
        <f t="shared" si="4"/>
        <v>0</v>
      </c>
      <c r="J45" s="62">
        <f t="shared" si="16"/>
        <v>0</v>
      </c>
      <c r="K45" s="63">
        <v>997.6</v>
      </c>
      <c r="L45" s="63">
        <v>1531</v>
      </c>
      <c r="M45" s="63"/>
      <c r="N45" s="63"/>
      <c r="O45" s="63"/>
      <c r="P45" s="62">
        <f t="shared" si="6"/>
        <v>0</v>
      </c>
      <c r="Q45" s="62">
        <f t="shared" si="17"/>
        <v>0</v>
      </c>
    </row>
    <row r="46" spans="1:17" ht="48" customHeight="1" x14ac:dyDescent="0.25">
      <c r="A46" s="61" t="s">
        <v>57</v>
      </c>
      <c r="B46" s="61" t="s">
        <v>58</v>
      </c>
      <c r="C46" s="17" t="s">
        <v>40</v>
      </c>
      <c r="D46" s="86">
        <v>205</v>
      </c>
      <c r="E46" s="86">
        <v>99</v>
      </c>
      <c r="F46" s="86">
        <v>105</v>
      </c>
      <c r="G46" s="86">
        <v>105</v>
      </c>
      <c r="H46" s="63">
        <v>105</v>
      </c>
      <c r="I46" s="62">
        <f t="shared" si="4"/>
        <v>0.51200000000000001</v>
      </c>
      <c r="J46" s="62">
        <f t="shared" si="16"/>
        <v>1.0609999999999999</v>
      </c>
      <c r="K46" s="63">
        <f>1149.8+1170.7</f>
        <v>2320.5</v>
      </c>
      <c r="L46" s="63">
        <f>1782.1+1757.8</f>
        <v>3539.9</v>
      </c>
      <c r="M46" s="63">
        <v>540</v>
      </c>
      <c r="N46" s="63">
        <v>540</v>
      </c>
      <c r="O46" s="63">
        <v>540</v>
      </c>
      <c r="P46" s="62">
        <f t="shared" si="6"/>
        <v>0.23300000000000001</v>
      </c>
      <c r="Q46" s="62">
        <f t="shared" si="17"/>
        <v>0.153</v>
      </c>
    </row>
    <row r="47" spans="1:17" ht="48" customHeight="1" x14ac:dyDescent="0.25">
      <c r="A47" s="61" t="s">
        <v>59</v>
      </c>
      <c r="B47" s="61" t="s">
        <v>54</v>
      </c>
      <c r="C47" s="17" t="s">
        <v>40</v>
      </c>
      <c r="D47" s="86">
        <v>350</v>
      </c>
      <c r="E47" s="86">
        <v>200</v>
      </c>
      <c r="F47" s="86">
        <v>232</v>
      </c>
      <c r="G47" s="86">
        <v>232</v>
      </c>
      <c r="H47" s="63">
        <v>232</v>
      </c>
      <c r="I47" s="62">
        <f t="shared" si="4"/>
        <v>0.66300000000000003</v>
      </c>
      <c r="J47" s="62">
        <f t="shared" si="16"/>
        <v>1.1599999999999999</v>
      </c>
      <c r="K47" s="63">
        <v>1922.1</v>
      </c>
      <c r="L47" s="63">
        <v>2163.1</v>
      </c>
      <c r="M47" s="63">
        <v>2190</v>
      </c>
      <c r="N47" s="63">
        <v>2190</v>
      </c>
      <c r="O47" s="63">
        <v>2190</v>
      </c>
      <c r="P47" s="62">
        <f t="shared" si="6"/>
        <v>1.139</v>
      </c>
      <c r="Q47" s="62">
        <f t="shared" si="17"/>
        <v>1.012</v>
      </c>
    </row>
    <row r="48" spans="1:17" ht="48" customHeight="1" x14ac:dyDescent="0.25">
      <c r="A48" s="61" t="s">
        <v>60</v>
      </c>
      <c r="B48" s="61" t="s">
        <v>61</v>
      </c>
      <c r="C48" s="17" t="s">
        <v>40</v>
      </c>
      <c r="D48" s="86">
        <v>9</v>
      </c>
      <c r="E48" s="86">
        <v>5</v>
      </c>
      <c r="F48" s="86">
        <v>5</v>
      </c>
      <c r="G48" s="86">
        <v>5</v>
      </c>
      <c r="H48" s="63">
        <v>5</v>
      </c>
      <c r="I48" s="62">
        <f t="shared" si="4"/>
        <v>0.55600000000000005</v>
      </c>
      <c r="J48" s="62">
        <f t="shared" si="16"/>
        <v>1</v>
      </c>
      <c r="K48" s="63">
        <v>1001.1</v>
      </c>
      <c r="L48" s="63">
        <v>1676.2</v>
      </c>
      <c r="M48" s="63">
        <v>270</v>
      </c>
      <c r="N48" s="63">
        <v>270</v>
      </c>
      <c r="O48" s="63">
        <v>270</v>
      </c>
      <c r="P48" s="62">
        <f t="shared" si="6"/>
        <v>0.27</v>
      </c>
      <c r="Q48" s="62">
        <f t="shared" si="17"/>
        <v>0.161</v>
      </c>
    </row>
    <row r="49" spans="1:17" ht="72.75" customHeight="1" x14ac:dyDescent="0.25">
      <c r="A49" s="61" t="s">
        <v>62</v>
      </c>
      <c r="B49" s="61" t="s">
        <v>63</v>
      </c>
      <c r="C49" s="17" t="s">
        <v>40</v>
      </c>
      <c r="D49" s="86">
        <v>255</v>
      </c>
      <c r="E49" s="86">
        <v>120</v>
      </c>
      <c r="F49" s="86">
        <v>127</v>
      </c>
      <c r="G49" s="86">
        <v>127</v>
      </c>
      <c r="H49" s="63">
        <v>127</v>
      </c>
      <c r="I49" s="62">
        <f t="shared" si="4"/>
        <v>0.498</v>
      </c>
      <c r="J49" s="62">
        <f t="shared" si="16"/>
        <v>1.0580000000000001</v>
      </c>
      <c r="K49" s="63">
        <v>1231.0999999999999</v>
      </c>
      <c r="L49" s="63">
        <v>1486.1</v>
      </c>
      <c r="M49" s="63">
        <v>280</v>
      </c>
      <c r="N49" s="63">
        <v>280</v>
      </c>
      <c r="O49" s="63">
        <v>280</v>
      </c>
      <c r="P49" s="62">
        <f t="shared" si="6"/>
        <v>0.22700000000000001</v>
      </c>
      <c r="Q49" s="62">
        <f t="shared" si="17"/>
        <v>0.188</v>
      </c>
    </row>
    <row r="50" spans="1:17" ht="77.25" customHeight="1" x14ac:dyDescent="0.25">
      <c r="A50" s="61" t="s">
        <v>64</v>
      </c>
      <c r="B50" s="61" t="s">
        <v>65</v>
      </c>
      <c r="C50" s="17" t="s">
        <v>40</v>
      </c>
      <c r="D50" s="86">
        <v>8</v>
      </c>
      <c r="E50" s="86"/>
      <c r="F50" s="86"/>
      <c r="G50" s="86"/>
      <c r="H50" s="63"/>
      <c r="I50" s="62">
        <f t="shared" si="4"/>
        <v>0</v>
      </c>
      <c r="J50" s="62"/>
      <c r="K50" s="63">
        <v>5308</v>
      </c>
      <c r="L50" s="63"/>
      <c r="M50" s="63"/>
      <c r="N50" s="63"/>
      <c r="O50" s="63"/>
      <c r="P50" s="62">
        <f t="shared" si="6"/>
        <v>0</v>
      </c>
      <c r="Q50" s="62"/>
    </row>
    <row r="51" spans="1:17" ht="92.25" customHeight="1" x14ac:dyDescent="0.25">
      <c r="A51" s="61" t="s">
        <v>248</v>
      </c>
      <c r="B51" s="61" t="s">
        <v>249</v>
      </c>
      <c r="C51" s="17" t="s">
        <v>189</v>
      </c>
      <c r="D51" s="86"/>
      <c r="E51" s="86">
        <v>4</v>
      </c>
      <c r="F51" s="86">
        <v>4</v>
      </c>
      <c r="G51" s="86">
        <v>4</v>
      </c>
      <c r="H51" s="63">
        <v>4</v>
      </c>
      <c r="I51" s="62"/>
      <c r="J51" s="62">
        <f t="shared" si="16"/>
        <v>1</v>
      </c>
      <c r="K51" s="63"/>
      <c r="L51" s="63">
        <v>2811.4</v>
      </c>
      <c r="M51" s="63">
        <v>2811.4</v>
      </c>
      <c r="N51" s="63">
        <v>2811.4</v>
      </c>
      <c r="O51" s="63">
        <v>2811.4</v>
      </c>
      <c r="P51" s="62"/>
      <c r="Q51" s="62">
        <f t="shared" si="17"/>
        <v>1</v>
      </c>
    </row>
    <row r="52" spans="1:17" ht="105.75" customHeight="1" x14ac:dyDescent="0.25">
      <c r="A52" s="61" t="s">
        <v>250</v>
      </c>
      <c r="B52" s="61" t="s">
        <v>251</v>
      </c>
      <c r="C52" s="17" t="s">
        <v>189</v>
      </c>
      <c r="D52" s="86"/>
      <c r="E52" s="86">
        <v>10</v>
      </c>
      <c r="F52" s="86">
        <v>100</v>
      </c>
      <c r="G52" s="86">
        <v>100</v>
      </c>
      <c r="H52" s="63">
        <v>100</v>
      </c>
      <c r="I52" s="62"/>
      <c r="J52" s="62">
        <f t="shared" si="16"/>
        <v>10</v>
      </c>
      <c r="K52" s="63"/>
      <c r="L52" s="63">
        <v>2906.3</v>
      </c>
      <c r="M52" s="63">
        <v>2907.5</v>
      </c>
      <c r="N52" s="63">
        <v>2907.5</v>
      </c>
      <c r="O52" s="63">
        <v>2907.5</v>
      </c>
      <c r="P52" s="62"/>
      <c r="Q52" s="62">
        <f t="shared" si="17"/>
        <v>1</v>
      </c>
    </row>
    <row r="53" spans="1:17" ht="92.25" customHeight="1" x14ac:dyDescent="0.25">
      <c r="A53" s="61" t="s">
        <v>252</v>
      </c>
      <c r="B53" s="61" t="s">
        <v>253</v>
      </c>
      <c r="C53" s="17" t="s">
        <v>189</v>
      </c>
      <c r="D53" s="86"/>
      <c r="E53" s="86">
        <v>3743</v>
      </c>
      <c r="F53" s="86">
        <v>294000</v>
      </c>
      <c r="G53" s="86">
        <v>294000</v>
      </c>
      <c r="H53" s="63">
        <v>294000</v>
      </c>
      <c r="I53" s="62"/>
      <c r="J53" s="62">
        <f t="shared" si="16"/>
        <v>78.546999999999997</v>
      </c>
      <c r="K53" s="63"/>
      <c r="L53" s="63">
        <v>2587.1</v>
      </c>
      <c r="M53" s="63">
        <v>3031.1</v>
      </c>
      <c r="N53" s="63">
        <v>3031.1</v>
      </c>
      <c r="O53" s="63">
        <v>3031.1</v>
      </c>
      <c r="P53" s="62"/>
      <c r="Q53" s="62">
        <f t="shared" si="17"/>
        <v>1.1719999999999999</v>
      </c>
    </row>
    <row r="54" spans="1:17" ht="68.25" customHeight="1" x14ac:dyDescent="0.25">
      <c r="A54" s="61" t="s">
        <v>66</v>
      </c>
      <c r="B54" s="61" t="s">
        <v>67</v>
      </c>
      <c r="C54" s="17" t="s">
        <v>40</v>
      </c>
      <c r="D54" s="86">
        <v>1</v>
      </c>
      <c r="E54" s="86">
        <v>1</v>
      </c>
      <c r="F54" s="86"/>
      <c r="G54" s="86"/>
      <c r="H54" s="63"/>
      <c r="I54" s="62">
        <f t="shared" si="4"/>
        <v>0</v>
      </c>
      <c r="J54" s="62">
        <f t="shared" si="16"/>
        <v>0</v>
      </c>
      <c r="K54" s="63">
        <v>877.7</v>
      </c>
      <c r="L54" s="63">
        <v>1552.1</v>
      </c>
      <c r="M54" s="63"/>
      <c r="N54" s="63"/>
      <c r="O54" s="63"/>
      <c r="P54" s="62">
        <f t="shared" si="6"/>
        <v>0</v>
      </c>
      <c r="Q54" s="62">
        <f t="shared" si="17"/>
        <v>0</v>
      </c>
    </row>
    <row r="55" spans="1:17" ht="34.5" customHeight="1" x14ac:dyDescent="0.25">
      <c r="A55" s="159" t="s">
        <v>17</v>
      </c>
      <c r="B55" s="61" t="s">
        <v>68</v>
      </c>
      <c r="C55" s="17" t="s">
        <v>40</v>
      </c>
      <c r="D55" s="86">
        <v>250</v>
      </c>
      <c r="E55" s="86">
        <v>310</v>
      </c>
      <c r="F55" s="86">
        <v>310</v>
      </c>
      <c r="G55" s="86">
        <v>310</v>
      </c>
      <c r="H55" s="63">
        <v>310</v>
      </c>
      <c r="I55" s="62">
        <f t="shared" si="4"/>
        <v>1.24</v>
      </c>
      <c r="J55" s="62">
        <f t="shared" si="16"/>
        <v>1</v>
      </c>
      <c r="K55" s="119">
        <v>17523</v>
      </c>
      <c r="L55" s="63">
        <v>20985.3</v>
      </c>
      <c r="M55" s="63">
        <v>23831.5</v>
      </c>
      <c r="N55" s="63">
        <v>24828.5</v>
      </c>
      <c r="O55" s="63">
        <v>24828.5</v>
      </c>
      <c r="P55" s="62">
        <f t="shared" si="6"/>
        <v>1.36</v>
      </c>
      <c r="Q55" s="62">
        <f t="shared" si="17"/>
        <v>1.1359999999999999</v>
      </c>
    </row>
    <row r="56" spans="1:17" ht="44.25" customHeight="1" x14ac:dyDescent="0.25">
      <c r="A56" s="160"/>
      <c r="B56" s="61" t="s">
        <v>69</v>
      </c>
      <c r="C56" s="17" t="s">
        <v>40</v>
      </c>
      <c r="D56" s="86">
        <v>1</v>
      </c>
      <c r="E56" s="86"/>
      <c r="F56" s="86"/>
      <c r="G56" s="86"/>
      <c r="H56" s="63"/>
      <c r="I56" s="62">
        <f t="shared" si="4"/>
        <v>0</v>
      </c>
      <c r="J56" s="62"/>
      <c r="K56" s="120"/>
      <c r="L56" s="63">
        <v>0</v>
      </c>
      <c r="M56" s="63">
        <v>0</v>
      </c>
      <c r="N56" s="63">
        <v>0</v>
      </c>
      <c r="O56" s="63">
        <v>0</v>
      </c>
      <c r="P56" s="62"/>
      <c r="Q56" s="62"/>
    </row>
    <row r="57" spans="1:17" ht="45" customHeight="1" x14ac:dyDescent="0.25">
      <c r="A57" s="61" t="s">
        <v>70</v>
      </c>
      <c r="B57" s="61" t="s">
        <v>71</v>
      </c>
      <c r="C57" s="17" t="s">
        <v>72</v>
      </c>
      <c r="D57" s="86">
        <v>1</v>
      </c>
      <c r="E57" s="86"/>
      <c r="F57" s="86"/>
      <c r="G57" s="86"/>
      <c r="H57" s="63"/>
      <c r="I57" s="62">
        <f t="shared" si="4"/>
        <v>0</v>
      </c>
      <c r="J57" s="62"/>
      <c r="K57" s="63">
        <v>20213</v>
      </c>
      <c r="L57" s="63"/>
      <c r="M57" s="63"/>
      <c r="N57" s="63"/>
      <c r="O57" s="63"/>
      <c r="P57" s="62">
        <f t="shared" si="6"/>
        <v>0</v>
      </c>
      <c r="Q57" s="62"/>
    </row>
    <row r="58" spans="1:17" ht="48" customHeight="1" x14ac:dyDescent="0.25">
      <c r="A58" s="93" t="s">
        <v>28</v>
      </c>
      <c r="B58" s="94"/>
      <c r="C58" s="85"/>
      <c r="D58" s="85"/>
      <c r="E58" s="10"/>
      <c r="F58" s="10"/>
      <c r="G58" s="10"/>
      <c r="H58" s="10"/>
      <c r="I58" s="13"/>
      <c r="J58" s="13"/>
      <c r="K58" s="7"/>
      <c r="L58" s="7"/>
      <c r="M58" s="7"/>
      <c r="N58" s="7"/>
      <c r="O58" s="7"/>
      <c r="P58" s="13"/>
      <c r="Q58" s="13"/>
    </row>
    <row r="59" spans="1:17" ht="30" x14ac:dyDescent="0.25">
      <c r="A59" s="61" t="s">
        <v>210</v>
      </c>
      <c r="B59" s="61" t="s">
        <v>4</v>
      </c>
      <c r="C59" s="17" t="s">
        <v>73</v>
      </c>
      <c r="D59" s="86">
        <v>3910</v>
      </c>
      <c r="E59" s="86">
        <v>5077</v>
      </c>
      <c r="F59" s="86">
        <v>3910</v>
      </c>
      <c r="G59" s="86">
        <v>3910</v>
      </c>
      <c r="H59" s="63">
        <v>3910</v>
      </c>
      <c r="I59" s="62">
        <f t="shared" ref="I59:I65" si="20">F59/D59</f>
        <v>1</v>
      </c>
      <c r="J59" s="62">
        <f t="shared" ref="J59:J65" si="21">F59/E59</f>
        <v>0.77</v>
      </c>
      <c r="K59" s="63">
        <v>14050</v>
      </c>
      <c r="L59" s="63">
        <v>14750</v>
      </c>
      <c r="M59" s="63">
        <v>16425</v>
      </c>
      <c r="N59" s="63">
        <v>7375</v>
      </c>
      <c r="O59" s="63">
        <v>7375</v>
      </c>
      <c r="P59" s="62">
        <f t="shared" ref="P59:P65" si="22">M59/K59</f>
        <v>1.169</v>
      </c>
      <c r="Q59" s="62">
        <f t="shared" ref="Q59:Q65" si="23">M59/L59</f>
        <v>1.1140000000000001</v>
      </c>
    </row>
    <row r="60" spans="1:17" ht="30" x14ac:dyDescent="0.25">
      <c r="A60" s="61" t="s">
        <v>74</v>
      </c>
      <c r="B60" s="61" t="s">
        <v>4</v>
      </c>
      <c r="C60" s="17" t="s">
        <v>73</v>
      </c>
      <c r="D60" s="86">
        <v>1012</v>
      </c>
      <c r="E60" s="86">
        <v>597</v>
      </c>
      <c r="F60" s="86">
        <v>1012</v>
      </c>
      <c r="G60" s="86">
        <v>1012</v>
      </c>
      <c r="H60" s="63">
        <v>1012</v>
      </c>
      <c r="I60" s="62">
        <f t="shared" si="20"/>
        <v>1</v>
      </c>
      <c r="J60" s="62">
        <f t="shared" si="21"/>
        <v>1.6950000000000001</v>
      </c>
      <c r="K60" s="63">
        <v>158462.1</v>
      </c>
      <c r="L60" s="63">
        <v>178395</v>
      </c>
      <c r="M60" s="63">
        <v>179531</v>
      </c>
      <c r="N60" s="63">
        <v>133903.20000000001</v>
      </c>
      <c r="O60" s="63">
        <v>133549.20000000001</v>
      </c>
      <c r="P60" s="62">
        <f t="shared" si="22"/>
        <v>1.133</v>
      </c>
      <c r="Q60" s="62">
        <f t="shared" si="23"/>
        <v>1.006</v>
      </c>
    </row>
    <row r="61" spans="1:17" ht="30" x14ac:dyDescent="0.25">
      <c r="A61" s="61" t="s">
        <v>211</v>
      </c>
      <c r="B61" s="61" t="s">
        <v>212</v>
      </c>
      <c r="C61" s="17" t="s">
        <v>189</v>
      </c>
      <c r="D61" s="86" t="s">
        <v>41</v>
      </c>
      <c r="E61" s="86">
        <v>12</v>
      </c>
      <c r="F61" s="86">
        <v>12</v>
      </c>
      <c r="G61" s="86">
        <v>12</v>
      </c>
      <c r="H61" s="63">
        <v>12</v>
      </c>
      <c r="I61" s="62"/>
      <c r="J61" s="62">
        <f t="shared" si="21"/>
        <v>1</v>
      </c>
      <c r="K61" s="63">
        <v>0</v>
      </c>
      <c r="L61" s="63">
        <v>480</v>
      </c>
      <c r="M61" s="63">
        <v>480</v>
      </c>
      <c r="N61" s="63">
        <v>480</v>
      </c>
      <c r="O61" s="63">
        <v>480</v>
      </c>
      <c r="P61" s="62"/>
      <c r="Q61" s="62">
        <f t="shared" si="23"/>
        <v>1</v>
      </c>
    </row>
    <row r="62" spans="1:17" ht="77.25" customHeight="1" x14ac:dyDescent="0.25">
      <c r="A62" s="61" t="s">
        <v>75</v>
      </c>
      <c r="B62" s="61" t="s">
        <v>215</v>
      </c>
      <c r="C62" s="17" t="s">
        <v>40</v>
      </c>
      <c r="D62" s="86">
        <v>126</v>
      </c>
      <c r="E62" s="86">
        <v>126</v>
      </c>
      <c r="F62" s="86">
        <v>126</v>
      </c>
      <c r="G62" s="86">
        <v>126</v>
      </c>
      <c r="H62" s="63">
        <v>126</v>
      </c>
      <c r="I62" s="62">
        <f t="shared" si="20"/>
        <v>1</v>
      </c>
      <c r="J62" s="62">
        <f t="shared" si="21"/>
        <v>1</v>
      </c>
      <c r="K62" s="63">
        <v>4284</v>
      </c>
      <c r="L62" s="63">
        <v>4284</v>
      </c>
      <c r="M62" s="63">
        <v>4284</v>
      </c>
      <c r="N62" s="63">
        <v>3500</v>
      </c>
      <c r="O62" s="63">
        <v>3500</v>
      </c>
      <c r="P62" s="62">
        <f t="shared" si="22"/>
        <v>1</v>
      </c>
      <c r="Q62" s="62">
        <f t="shared" si="23"/>
        <v>1</v>
      </c>
    </row>
    <row r="63" spans="1:17" ht="42" customHeight="1" x14ac:dyDescent="0.25">
      <c r="A63" s="61" t="s">
        <v>213</v>
      </c>
      <c r="B63" s="61" t="s">
        <v>214</v>
      </c>
      <c r="C63" s="17" t="s">
        <v>189</v>
      </c>
      <c r="D63" s="86"/>
      <c r="E63" s="86">
        <v>4</v>
      </c>
      <c r="F63" s="86">
        <v>4</v>
      </c>
      <c r="G63" s="86">
        <v>4</v>
      </c>
      <c r="H63" s="63">
        <v>4</v>
      </c>
      <c r="I63" s="62"/>
      <c r="J63" s="62">
        <f t="shared" si="21"/>
        <v>1</v>
      </c>
      <c r="K63" s="63"/>
      <c r="L63" s="63">
        <v>169.2</v>
      </c>
      <c r="M63" s="63">
        <v>169.2</v>
      </c>
      <c r="N63" s="63">
        <v>169.2</v>
      </c>
      <c r="O63" s="63">
        <v>169.2</v>
      </c>
      <c r="P63" s="62"/>
      <c r="Q63" s="62">
        <f t="shared" si="23"/>
        <v>1</v>
      </c>
    </row>
    <row r="64" spans="1:17" ht="59.25" customHeight="1" x14ac:dyDescent="0.25">
      <c r="A64" s="61" t="s">
        <v>15</v>
      </c>
      <c r="B64" s="61" t="s">
        <v>76</v>
      </c>
      <c r="C64" s="17" t="s">
        <v>40</v>
      </c>
      <c r="D64" s="86">
        <v>587</v>
      </c>
      <c r="E64" s="86">
        <v>592</v>
      </c>
      <c r="F64" s="86">
        <v>640</v>
      </c>
      <c r="G64" s="86">
        <v>640</v>
      </c>
      <c r="H64" s="63">
        <v>640</v>
      </c>
      <c r="I64" s="62">
        <f t="shared" si="20"/>
        <v>1.0900000000000001</v>
      </c>
      <c r="J64" s="62">
        <f t="shared" si="21"/>
        <v>1.081</v>
      </c>
      <c r="K64" s="63">
        <v>8229.5</v>
      </c>
      <c r="L64" s="63">
        <v>7854.7</v>
      </c>
      <c r="M64" s="63">
        <v>7854.7</v>
      </c>
      <c r="N64" s="63">
        <v>4744.8</v>
      </c>
      <c r="O64" s="63">
        <v>4744.8</v>
      </c>
      <c r="P64" s="62">
        <f t="shared" si="22"/>
        <v>0.95399999999999996</v>
      </c>
      <c r="Q64" s="62">
        <f t="shared" si="23"/>
        <v>1</v>
      </c>
    </row>
    <row r="65" spans="1:17" ht="48" customHeight="1" x14ac:dyDescent="0.25">
      <c r="A65" s="61" t="s">
        <v>77</v>
      </c>
      <c r="B65" s="61" t="s">
        <v>78</v>
      </c>
      <c r="C65" s="17" t="s">
        <v>40</v>
      </c>
      <c r="D65" s="86">
        <v>1204</v>
      </c>
      <c r="E65" s="86">
        <v>1302</v>
      </c>
      <c r="F65" s="86">
        <v>1302</v>
      </c>
      <c r="G65" s="86">
        <v>1302</v>
      </c>
      <c r="H65" s="63">
        <v>1302</v>
      </c>
      <c r="I65" s="62">
        <f t="shared" si="20"/>
        <v>1.081</v>
      </c>
      <c r="J65" s="62">
        <f t="shared" si="21"/>
        <v>1</v>
      </c>
      <c r="K65" s="63">
        <v>9632</v>
      </c>
      <c r="L65" s="63">
        <v>9840</v>
      </c>
      <c r="M65" s="63">
        <v>9340</v>
      </c>
      <c r="N65" s="63">
        <v>10000</v>
      </c>
      <c r="O65" s="63">
        <v>10000</v>
      </c>
      <c r="P65" s="62">
        <f t="shared" si="22"/>
        <v>0.97</v>
      </c>
      <c r="Q65" s="62">
        <f t="shared" si="23"/>
        <v>0.94899999999999995</v>
      </c>
    </row>
    <row r="66" spans="1:17" ht="30.75" customHeight="1" x14ac:dyDescent="0.25">
      <c r="A66" s="124" t="s">
        <v>31</v>
      </c>
      <c r="B66" s="124"/>
      <c r="C66" s="124"/>
      <c r="D66" s="12"/>
      <c r="E66" s="12"/>
      <c r="F66" s="12"/>
      <c r="G66" s="12"/>
      <c r="H66" s="12"/>
      <c r="I66" s="62"/>
      <c r="J66" s="62"/>
      <c r="K66" s="7"/>
      <c r="L66" s="7"/>
      <c r="M66" s="7"/>
      <c r="N66" s="7"/>
      <c r="O66" s="7"/>
      <c r="P66" s="62"/>
      <c r="Q66" s="62"/>
    </row>
    <row r="67" spans="1:17" ht="48.75" customHeight="1" x14ac:dyDescent="0.25">
      <c r="A67" s="148" t="s">
        <v>79</v>
      </c>
      <c r="B67" s="61" t="s">
        <v>80</v>
      </c>
      <c r="C67" s="17" t="s">
        <v>39</v>
      </c>
      <c r="D67" s="86">
        <v>1</v>
      </c>
      <c r="E67" s="86">
        <v>1</v>
      </c>
      <c r="F67" s="86">
        <v>1</v>
      </c>
      <c r="G67" s="86">
        <v>1</v>
      </c>
      <c r="H67" s="63">
        <v>1</v>
      </c>
      <c r="I67" s="62">
        <f t="shared" ref="I67:I73" si="24">F67/D67</f>
        <v>1</v>
      </c>
      <c r="J67" s="62">
        <f t="shared" ref="J67:J73" si="25">F67/E67</f>
        <v>1</v>
      </c>
      <c r="K67" s="141">
        <v>1438.6</v>
      </c>
      <c r="L67" s="142">
        <v>1498.2</v>
      </c>
      <c r="M67" s="142">
        <v>1531.7</v>
      </c>
      <c r="N67" s="142">
        <v>1531.7</v>
      </c>
      <c r="O67" s="142">
        <v>1531.7</v>
      </c>
      <c r="P67" s="145">
        <f>M67/K67</f>
        <v>1.0649999999999999</v>
      </c>
      <c r="Q67" s="145">
        <f>M67/L67</f>
        <v>1.022</v>
      </c>
    </row>
    <row r="68" spans="1:17" ht="36" customHeight="1" x14ac:dyDescent="0.25">
      <c r="A68" s="149"/>
      <c r="B68" s="61" t="s">
        <v>81</v>
      </c>
      <c r="C68" s="17" t="s">
        <v>39</v>
      </c>
      <c r="D68" s="86">
        <v>4</v>
      </c>
      <c r="E68" s="86">
        <v>4</v>
      </c>
      <c r="F68" s="86">
        <v>4</v>
      </c>
      <c r="G68" s="86">
        <v>4</v>
      </c>
      <c r="H68" s="63">
        <v>4</v>
      </c>
      <c r="I68" s="62">
        <f t="shared" si="24"/>
        <v>1</v>
      </c>
      <c r="J68" s="62">
        <f t="shared" si="25"/>
        <v>1</v>
      </c>
      <c r="K68" s="143"/>
      <c r="L68" s="142"/>
      <c r="M68" s="142"/>
      <c r="N68" s="142"/>
      <c r="O68" s="142"/>
      <c r="P68" s="145"/>
      <c r="Q68" s="145"/>
    </row>
    <row r="69" spans="1:17" ht="49.5" customHeight="1" x14ac:dyDescent="0.25">
      <c r="A69" s="149"/>
      <c r="B69" s="61" t="s">
        <v>82</v>
      </c>
      <c r="C69" s="17" t="s">
        <v>39</v>
      </c>
      <c r="D69" s="86">
        <v>1</v>
      </c>
      <c r="E69" s="86">
        <v>1</v>
      </c>
      <c r="F69" s="86">
        <v>1</v>
      </c>
      <c r="G69" s="86">
        <v>1</v>
      </c>
      <c r="H69" s="63">
        <v>1</v>
      </c>
      <c r="I69" s="62">
        <f t="shared" si="24"/>
        <v>1</v>
      </c>
      <c r="J69" s="62">
        <f t="shared" si="25"/>
        <v>1</v>
      </c>
      <c r="K69" s="143"/>
      <c r="L69" s="142"/>
      <c r="M69" s="142"/>
      <c r="N69" s="142"/>
      <c r="O69" s="142"/>
      <c r="P69" s="145"/>
      <c r="Q69" s="145"/>
    </row>
    <row r="70" spans="1:17" ht="32.25" customHeight="1" x14ac:dyDescent="0.25">
      <c r="A70" s="149"/>
      <c r="B70" s="61" t="s">
        <v>83</v>
      </c>
      <c r="C70" s="17" t="s">
        <v>39</v>
      </c>
      <c r="D70" s="86">
        <v>20</v>
      </c>
      <c r="E70" s="86">
        <v>20</v>
      </c>
      <c r="F70" s="86">
        <v>20</v>
      </c>
      <c r="G70" s="86">
        <v>20</v>
      </c>
      <c r="H70" s="63">
        <v>20</v>
      </c>
      <c r="I70" s="62">
        <f t="shared" si="24"/>
        <v>1</v>
      </c>
      <c r="J70" s="62">
        <f t="shared" si="25"/>
        <v>1</v>
      </c>
      <c r="K70" s="143"/>
      <c r="L70" s="142"/>
      <c r="M70" s="142"/>
      <c r="N70" s="142"/>
      <c r="O70" s="142"/>
      <c r="P70" s="145"/>
      <c r="Q70" s="145"/>
    </row>
    <row r="71" spans="1:17" ht="48" customHeight="1" x14ac:dyDescent="0.25">
      <c r="A71" s="149"/>
      <c r="B71" s="61" t="s">
        <v>84</v>
      </c>
      <c r="C71" s="17" t="s">
        <v>39</v>
      </c>
      <c r="D71" s="86">
        <v>14</v>
      </c>
      <c r="E71" s="86">
        <v>15</v>
      </c>
      <c r="F71" s="86">
        <v>14</v>
      </c>
      <c r="G71" s="86">
        <v>14</v>
      </c>
      <c r="H71" s="63">
        <v>14</v>
      </c>
      <c r="I71" s="62">
        <f t="shared" si="24"/>
        <v>1</v>
      </c>
      <c r="J71" s="62">
        <f t="shared" si="25"/>
        <v>0.93300000000000005</v>
      </c>
      <c r="K71" s="143"/>
      <c r="L71" s="142"/>
      <c r="M71" s="142"/>
      <c r="N71" s="142"/>
      <c r="O71" s="142"/>
      <c r="P71" s="145"/>
      <c r="Q71" s="145"/>
    </row>
    <row r="72" spans="1:17" ht="24.75" customHeight="1" x14ac:dyDescent="0.25">
      <c r="A72" s="150"/>
      <c r="B72" s="61" t="s">
        <v>85</v>
      </c>
      <c r="C72" s="17" t="s">
        <v>39</v>
      </c>
      <c r="D72" s="86">
        <v>63</v>
      </c>
      <c r="E72" s="86">
        <v>70</v>
      </c>
      <c r="F72" s="86">
        <v>63</v>
      </c>
      <c r="G72" s="86">
        <v>63</v>
      </c>
      <c r="H72" s="63">
        <v>63</v>
      </c>
      <c r="I72" s="62">
        <f t="shared" si="24"/>
        <v>1</v>
      </c>
      <c r="J72" s="62">
        <f t="shared" si="25"/>
        <v>0.9</v>
      </c>
      <c r="K72" s="144"/>
      <c r="L72" s="142"/>
      <c r="M72" s="142"/>
      <c r="N72" s="142"/>
      <c r="O72" s="142"/>
      <c r="P72" s="145"/>
      <c r="Q72" s="145"/>
    </row>
    <row r="73" spans="1:17" ht="63.75" customHeight="1" x14ac:dyDescent="0.25">
      <c r="A73" s="61" t="s">
        <v>157</v>
      </c>
      <c r="B73" s="61" t="s">
        <v>86</v>
      </c>
      <c r="C73" s="17" t="s">
        <v>87</v>
      </c>
      <c r="D73" s="86">
        <v>12</v>
      </c>
      <c r="E73" s="86">
        <v>12</v>
      </c>
      <c r="F73" s="86">
        <v>12</v>
      </c>
      <c r="G73" s="86">
        <v>12</v>
      </c>
      <c r="H73" s="63">
        <v>12</v>
      </c>
      <c r="I73" s="62">
        <f t="shared" si="24"/>
        <v>1</v>
      </c>
      <c r="J73" s="62">
        <f t="shared" si="25"/>
        <v>1</v>
      </c>
      <c r="K73" s="63">
        <v>5033.8999999999996</v>
      </c>
      <c r="L73" s="63">
        <v>5550.8</v>
      </c>
      <c r="M73" s="63">
        <v>4740</v>
      </c>
      <c r="N73" s="63">
        <v>4740</v>
      </c>
      <c r="O73" s="63">
        <v>4740</v>
      </c>
      <c r="P73" s="62">
        <f t="shared" ref="P73" si="26">M73/K73</f>
        <v>0.94199999999999995</v>
      </c>
      <c r="Q73" s="62">
        <f>M73/L73</f>
        <v>0.85399999999999998</v>
      </c>
    </row>
    <row r="74" spans="1:17" ht="45.75" customHeight="1" x14ac:dyDescent="0.25">
      <c r="A74" s="103" t="s">
        <v>21</v>
      </c>
      <c r="B74" s="61" t="s">
        <v>239</v>
      </c>
      <c r="C74" s="61" t="s">
        <v>138</v>
      </c>
      <c r="D74" s="14">
        <v>138.6</v>
      </c>
      <c r="E74" s="14">
        <v>55</v>
      </c>
      <c r="F74" s="14">
        <v>55</v>
      </c>
      <c r="G74" s="14">
        <v>55</v>
      </c>
      <c r="H74" s="14">
        <v>55</v>
      </c>
      <c r="I74" s="62">
        <f t="shared" ref="I74:I82" si="27">F74/D74</f>
        <v>0.39700000000000002</v>
      </c>
      <c r="J74" s="62">
        <f t="shared" ref="J74:J82" si="28">F74/E74</f>
        <v>1</v>
      </c>
      <c r="K74" s="63">
        <v>2847.5</v>
      </c>
      <c r="L74" s="63">
        <v>3417.8</v>
      </c>
      <c r="M74" s="63">
        <v>28956.6</v>
      </c>
      <c r="N74" s="63">
        <v>2856.7</v>
      </c>
      <c r="O74" s="63">
        <v>3036</v>
      </c>
      <c r="P74" s="62">
        <f t="shared" ref="P74:P93" si="29">M74/K74</f>
        <v>10.169</v>
      </c>
      <c r="Q74" s="62">
        <f t="shared" ref="Q74:Q92" si="30">M74/L74</f>
        <v>8.4719999999999995</v>
      </c>
    </row>
    <row r="75" spans="1:17" ht="126" customHeight="1" x14ac:dyDescent="0.25">
      <c r="A75" s="104"/>
      <c r="B75" s="29" t="s">
        <v>238</v>
      </c>
      <c r="C75" s="61" t="s">
        <v>138</v>
      </c>
      <c r="D75" s="14">
        <v>74</v>
      </c>
      <c r="E75" s="14">
        <v>10000</v>
      </c>
      <c r="F75" s="14">
        <v>10000</v>
      </c>
      <c r="G75" s="14">
        <v>10000</v>
      </c>
      <c r="H75" s="14">
        <v>10000</v>
      </c>
      <c r="I75" s="62">
        <f t="shared" si="27"/>
        <v>135.13499999999999</v>
      </c>
      <c r="J75" s="62">
        <f t="shared" si="28"/>
        <v>1</v>
      </c>
      <c r="K75" s="63">
        <v>18.8</v>
      </c>
      <c r="L75" s="63">
        <v>133.69999999999999</v>
      </c>
      <c r="M75" s="86">
        <v>133.69999999999999</v>
      </c>
      <c r="N75" s="86">
        <v>133.69999999999999</v>
      </c>
      <c r="O75" s="86">
        <v>133.69999999999999</v>
      </c>
      <c r="P75" s="62">
        <f t="shared" si="29"/>
        <v>7.1120000000000001</v>
      </c>
      <c r="Q75" s="62">
        <f t="shared" si="30"/>
        <v>1</v>
      </c>
    </row>
    <row r="76" spans="1:17" ht="102" customHeight="1" x14ac:dyDescent="0.25">
      <c r="A76" s="104"/>
      <c r="B76" s="29" t="s">
        <v>240</v>
      </c>
      <c r="C76" s="61" t="s">
        <v>138</v>
      </c>
      <c r="D76" s="14">
        <v>10</v>
      </c>
      <c r="E76" s="14">
        <v>37</v>
      </c>
      <c r="F76" s="14">
        <v>37</v>
      </c>
      <c r="G76" s="14">
        <v>37</v>
      </c>
      <c r="H76" s="14">
        <v>37</v>
      </c>
      <c r="I76" s="62">
        <f t="shared" si="27"/>
        <v>3.7</v>
      </c>
      <c r="J76" s="62">
        <f t="shared" si="28"/>
        <v>1</v>
      </c>
      <c r="K76" s="28">
        <v>28.2</v>
      </c>
      <c r="L76" s="28">
        <v>152.1</v>
      </c>
      <c r="M76" s="83">
        <v>152.1</v>
      </c>
      <c r="N76" s="83">
        <v>152.1</v>
      </c>
      <c r="O76" s="83">
        <v>152.1</v>
      </c>
      <c r="P76" s="87">
        <f t="shared" ref="P76:P78" si="31">M76/K76</f>
        <v>5.3940000000000001</v>
      </c>
      <c r="Q76" s="87">
        <f t="shared" ref="Q76:Q78" si="32">M76/L76</f>
        <v>1</v>
      </c>
    </row>
    <row r="77" spans="1:17" ht="103.5" customHeight="1" x14ac:dyDescent="0.25">
      <c r="A77" s="104"/>
      <c r="B77" s="29" t="s">
        <v>241</v>
      </c>
      <c r="C77" s="61" t="s">
        <v>138</v>
      </c>
      <c r="D77" s="14">
        <v>120.8</v>
      </c>
      <c r="E77" s="146">
        <v>74</v>
      </c>
      <c r="F77" s="146">
        <v>74</v>
      </c>
      <c r="G77" s="146">
        <v>74</v>
      </c>
      <c r="H77" s="146">
        <v>74</v>
      </c>
      <c r="I77" s="62">
        <f t="shared" si="27"/>
        <v>0.61299999999999999</v>
      </c>
      <c r="J77" s="62">
        <f t="shared" si="28"/>
        <v>1</v>
      </c>
      <c r="K77" s="28">
        <v>745.7</v>
      </c>
      <c r="L77" s="28">
        <v>182.7</v>
      </c>
      <c r="M77" s="83">
        <v>182.7</v>
      </c>
      <c r="N77" s="83">
        <v>182.7</v>
      </c>
      <c r="O77" s="83">
        <v>182.7</v>
      </c>
      <c r="P77" s="87">
        <f t="shared" si="31"/>
        <v>0.245</v>
      </c>
      <c r="Q77" s="87">
        <f t="shared" si="32"/>
        <v>1</v>
      </c>
    </row>
    <row r="78" spans="1:17" ht="78.75" customHeight="1" x14ac:dyDescent="0.25">
      <c r="A78" s="104"/>
      <c r="B78" s="29" t="s">
        <v>242</v>
      </c>
      <c r="C78" s="61" t="s">
        <v>138</v>
      </c>
      <c r="D78" s="14">
        <v>176.8</v>
      </c>
      <c r="E78" s="146">
        <v>25</v>
      </c>
      <c r="F78" s="146">
        <v>25</v>
      </c>
      <c r="G78" s="146">
        <v>25</v>
      </c>
      <c r="H78" s="146">
        <v>25</v>
      </c>
      <c r="I78" s="62">
        <f t="shared" si="27"/>
        <v>0.14099999999999999</v>
      </c>
      <c r="J78" s="62">
        <f t="shared" si="28"/>
        <v>1</v>
      </c>
      <c r="K78" s="28">
        <v>28.2</v>
      </c>
      <c r="L78" s="28">
        <v>320.60000000000002</v>
      </c>
      <c r="M78" s="83">
        <v>320.60000000000002</v>
      </c>
      <c r="N78" s="83">
        <v>320.60000000000002</v>
      </c>
      <c r="O78" s="83">
        <v>320.60000000000002</v>
      </c>
      <c r="P78" s="87">
        <f t="shared" si="31"/>
        <v>11.369</v>
      </c>
      <c r="Q78" s="87">
        <f t="shared" si="32"/>
        <v>1</v>
      </c>
    </row>
    <row r="79" spans="1:17" ht="86.25" customHeight="1" x14ac:dyDescent="0.25">
      <c r="A79" s="104"/>
      <c r="B79" s="61" t="s">
        <v>243</v>
      </c>
      <c r="C79" s="61" t="s">
        <v>138</v>
      </c>
      <c r="D79" s="14">
        <v>928.3</v>
      </c>
      <c r="E79" s="146">
        <v>217</v>
      </c>
      <c r="F79" s="146">
        <v>217</v>
      </c>
      <c r="G79" s="146">
        <v>217</v>
      </c>
      <c r="H79" s="146">
        <v>217</v>
      </c>
      <c r="I79" s="62">
        <f t="shared" si="27"/>
        <v>0.23400000000000001</v>
      </c>
      <c r="J79" s="62">
        <f t="shared" si="28"/>
        <v>1</v>
      </c>
      <c r="K79" s="63">
        <v>2616</v>
      </c>
      <c r="L79" s="63">
        <v>2337.8000000000002</v>
      </c>
      <c r="M79" s="86">
        <v>2337.8000000000002</v>
      </c>
      <c r="N79" s="86">
        <v>2337.8000000000002</v>
      </c>
      <c r="O79" s="86">
        <v>2337.8000000000002</v>
      </c>
      <c r="P79" s="62">
        <f t="shared" si="29"/>
        <v>0.89400000000000002</v>
      </c>
      <c r="Q79" s="147">
        <f t="shared" si="30"/>
        <v>1</v>
      </c>
    </row>
    <row r="80" spans="1:17" ht="63.75" customHeight="1" x14ac:dyDescent="0.25">
      <c r="A80" s="104"/>
      <c r="B80" s="61" t="s">
        <v>244</v>
      </c>
      <c r="C80" s="61" t="s">
        <v>138</v>
      </c>
      <c r="D80" s="14">
        <v>256.3</v>
      </c>
      <c r="E80" s="14">
        <v>3519100</v>
      </c>
      <c r="F80" s="14">
        <v>3519100</v>
      </c>
      <c r="G80" s="14">
        <v>3519100</v>
      </c>
      <c r="H80" s="14">
        <v>3519100</v>
      </c>
      <c r="I80" s="62">
        <f t="shared" si="27"/>
        <v>13730.394</v>
      </c>
      <c r="J80" s="62">
        <f t="shared" si="28"/>
        <v>1</v>
      </c>
      <c r="K80" s="63">
        <v>1654.6</v>
      </c>
      <c r="L80" s="63">
        <v>632.20000000000005</v>
      </c>
      <c r="M80" s="86">
        <v>632.20000000000005</v>
      </c>
      <c r="N80" s="86">
        <v>632.20000000000005</v>
      </c>
      <c r="O80" s="86">
        <v>632.20000000000005</v>
      </c>
      <c r="P80" s="87">
        <f t="shared" si="29"/>
        <v>0.38200000000000001</v>
      </c>
      <c r="Q80" s="147">
        <f t="shared" si="30"/>
        <v>1</v>
      </c>
    </row>
    <row r="81" spans="1:17" ht="94.5" customHeight="1" x14ac:dyDescent="0.25">
      <c r="A81" s="105"/>
      <c r="B81" s="61" t="s">
        <v>245</v>
      </c>
      <c r="C81" s="61" t="s">
        <v>138</v>
      </c>
      <c r="D81" s="14">
        <v>180.1</v>
      </c>
      <c r="E81" s="14">
        <v>1129749</v>
      </c>
      <c r="F81" s="14">
        <v>1129749</v>
      </c>
      <c r="G81" s="14">
        <v>1129749</v>
      </c>
      <c r="H81" s="14">
        <v>1129749</v>
      </c>
      <c r="I81" s="62">
        <f t="shared" si="27"/>
        <v>6272.8980000000001</v>
      </c>
      <c r="J81" s="62">
        <f t="shared" si="28"/>
        <v>1</v>
      </c>
      <c r="K81" s="63">
        <v>2851.7</v>
      </c>
      <c r="L81" s="63">
        <v>950.7</v>
      </c>
      <c r="M81" s="86">
        <v>950.7</v>
      </c>
      <c r="N81" s="86">
        <v>950.7</v>
      </c>
      <c r="O81" s="86">
        <v>950.7</v>
      </c>
      <c r="P81" s="62"/>
      <c r="Q81" s="147">
        <f t="shared" si="30"/>
        <v>1</v>
      </c>
    </row>
    <row r="82" spans="1:17" ht="61.5" customHeight="1" x14ac:dyDescent="0.25">
      <c r="A82" s="27" t="s">
        <v>236</v>
      </c>
      <c r="B82" s="61" t="s">
        <v>237</v>
      </c>
      <c r="C82" s="61" t="s">
        <v>139</v>
      </c>
      <c r="D82" s="14">
        <v>534.5</v>
      </c>
      <c r="E82" s="14">
        <v>2950.1</v>
      </c>
      <c r="F82" s="14">
        <v>2950.1</v>
      </c>
      <c r="G82" s="14">
        <v>2950.1</v>
      </c>
      <c r="H82" s="14">
        <v>2950.1</v>
      </c>
      <c r="I82" s="62">
        <f t="shared" si="27"/>
        <v>5.5190000000000001</v>
      </c>
      <c r="J82" s="62">
        <f t="shared" si="28"/>
        <v>1</v>
      </c>
      <c r="K82" s="63">
        <v>525.6</v>
      </c>
      <c r="L82" s="63">
        <v>563</v>
      </c>
      <c r="M82" s="63">
        <v>430.3</v>
      </c>
      <c r="N82" s="63">
        <v>287</v>
      </c>
      <c r="O82" s="63">
        <v>286.89999999999998</v>
      </c>
      <c r="P82" s="62">
        <f t="shared" si="29"/>
        <v>0.81899999999999995</v>
      </c>
      <c r="Q82" s="62">
        <f t="shared" si="30"/>
        <v>0.76400000000000001</v>
      </c>
    </row>
    <row r="83" spans="1:17" ht="30" customHeight="1" x14ac:dyDescent="0.25">
      <c r="A83" s="109" t="s">
        <v>230</v>
      </c>
      <c r="B83" s="61" t="s">
        <v>154</v>
      </c>
      <c r="C83" s="61" t="s">
        <v>143</v>
      </c>
      <c r="D83" s="14">
        <v>25.1</v>
      </c>
      <c r="E83" s="14"/>
      <c r="F83" s="14">
        <v>25</v>
      </c>
      <c r="G83" s="14">
        <v>25</v>
      </c>
      <c r="H83" s="14">
        <v>25</v>
      </c>
      <c r="I83" s="62">
        <f t="shared" ref="I83" si="33">F83/D83</f>
        <v>0.996</v>
      </c>
      <c r="J83" s="87"/>
      <c r="K83" s="63">
        <v>25393</v>
      </c>
      <c r="L83" s="63"/>
      <c r="M83" s="63">
        <v>3838.8</v>
      </c>
      <c r="N83" s="63">
        <v>3988.5</v>
      </c>
      <c r="O83" s="63">
        <v>4148.1000000000004</v>
      </c>
      <c r="P83" s="62">
        <f t="shared" si="29"/>
        <v>0.151</v>
      </c>
      <c r="Q83" s="62"/>
    </row>
    <row r="84" spans="1:17" ht="48.75" customHeight="1" x14ac:dyDescent="0.25">
      <c r="A84" s="110"/>
      <c r="B84" s="61" t="s">
        <v>231</v>
      </c>
      <c r="C84" s="18" t="s">
        <v>20</v>
      </c>
      <c r="D84" s="7">
        <v>55.1</v>
      </c>
      <c r="E84" s="7"/>
      <c r="F84" s="7">
        <v>55</v>
      </c>
      <c r="G84" s="7">
        <v>55</v>
      </c>
      <c r="H84" s="7">
        <v>55</v>
      </c>
      <c r="I84" s="62">
        <f t="shared" ref="I84:I93" si="34">F84/D84</f>
        <v>0.998</v>
      </c>
      <c r="J84" s="87"/>
      <c r="K84" s="63">
        <v>14071.2</v>
      </c>
      <c r="L84" s="63"/>
      <c r="M84" s="63">
        <v>2129.9</v>
      </c>
      <c r="N84" s="63">
        <v>2213</v>
      </c>
      <c r="O84" s="63">
        <v>2304.5</v>
      </c>
      <c r="P84" s="62">
        <f t="shared" si="29"/>
        <v>0.151</v>
      </c>
      <c r="Q84" s="62"/>
    </row>
    <row r="85" spans="1:17" ht="87.75" customHeight="1" x14ac:dyDescent="0.25">
      <c r="A85" s="110"/>
      <c r="B85" s="61" t="s">
        <v>140</v>
      </c>
      <c r="C85" s="61" t="s">
        <v>141</v>
      </c>
      <c r="D85" s="14">
        <v>10000</v>
      </c>
      <c r="E85" s="14"/>
      <c r="F85" s="14">
        <v>10000</v>
      </c>
      <c r="G85" s="14">
        <v>10000</v>
      </c>
      <c r="H85" s="14">
        <v>10000</v>
      </c>
      <c r="I85" s="62">
        <f t="shared" si="34"/>
        <v>1</v>
      </c>
      <c r="J85" s="87"/>
      <c r="K85" s="63">
        <v>62.3</v>
      </c>
      <c r="L85" s="63"/>
      <c r="M85" s="63">
        <v>14.3</v>
      </c>
      <c r="N85" s="63">
        <v>14.9</v>
      </c>
      <c r="O85" s="63">
        <v>15.5</v>
      </c>
      <c r="P85" s="62">
        <f t="shared" si="29"/>
        <v>0.23</v>
      </c>
      <c r="Q85" s="62"/>
    </row>
    <row r="86" spans="1:17" ht="51.75" customHeight="1" x14ac:dyDescent="0.25">
      <c r="A86" s="110"/>
      <c r="B86" s="61" t="s">
        <v>142</v>
      </c>
      <c r="C86" s="61" t="s">
        <v>143</v>
      </c>
      <c r="D86" s="14">
        <v>37</v>
      </c>
      <c r="E86" s="14"/>
      <c r="F86" s="14">
        <v>37</v>
      </c>
      <c r="G86" s="14">
        <v>37</v>
      </c>
      <c r="H86" s="14">
        <v>37</v>
      </c>
      <c r="I86" s="62">
        <f t="shared" si="34"/>
        <v>1</v>
      </c>
      <c r="J86" s="62"/>
      <c r="K86" s="63">
        <v>1375.3</v>
      </c>
      <c r="L86" s="63"/>
      <c r="M86" s="63">
        <v>312.10000000000002</v>
      </c>
      <c r="N86" s="63">
        <v>324.2</v>
      </c>
      <c r="O86" s="63">
        <v>337.2</v>
      </c>
      <c r="P86" s="62">
        <f t="shared" si="29"/>
        <v>0.22700000000000001</v>
      </c>
      <c r="Q86" s="62"/>
    </row>
    <row r="87" spans="1:17" ht="46.5" customHeight="1" x14ac:dyDescent="0.25">
      <c r="A87" s="110"/>
      <c r="B87" s="61" t="s">
        <v>144</v>
      </c>
      <c r="C87" s="61" t="s">
        <v>143</v>
      </c>
      <c r="D87" s="14">
        <v>74</v>
      </c>
      <c r="E87" s="14"/>
      <c r="F87" s="14">
        <v>74</v>
      </c>
      <c r="G87" s="14">
        <v>74</v>
      </c>
      <c r="H87" s="14">
        <v>74</v>
      </c>
      <c r="I87" s="62">
        <f t="shared" si="34"/>
        <v>1</v>
      </c>
      <c r="J87" s="62"/>
      <c r="K87" s="63">
        <v>2605.8000000000002</v>
      </c>
      <c r="L87" s="63"/>
      <c r="M87" s="63">
        <v>591.29999999999995</v>
      </c>
      <c r="N87" s="63">
        <v>324.2</v>
      </c>
      <c r="O87" s="63">
        <v>337.2</v>
      </c>
      <c r="P87" s="62">
        <f t="shared" si="29"/>
        <v>0.22700000000000001</v>
      </c>
      <c r="Q87" s="62"/>
    </row>
    <row r="88" spans="1:17" ht="63.75" customHeight="1" x14ac:dyDescent="0.25">
      <c r="A88" s="110"/>
      <c r="B88" s="61" t="s">
        <v>145</v>
      </c>
      <c r="C88" s="61" t="s">
        <v>138</v>
      </c>
      <c r="D88" s="14">
        <v>5044849</v>
      </c>
      <c r="E88" s="14">
        <v>3519100</v>
      </c>
      <c r="F88" s="14">
        <v>3519100</v>
      </c>
      <c r="G88" s="14">
        <v>3519100</v>
      </c>
      <c r="H88" s="14">
        <v>3519100</v>
      </c>
      <c r="I88" s="62">
        <f t="shared" si="34"/>
        <v>0.69799999999999995</v>
      </c>
      <c r="J88" s="62">
        <f t="shared" ref="J88:J92" si="35">F88/E88</f>
        <v>1</v>
      </c>
      <c r="K88" s="63">
        <v>51004</v>
      </c>
      <c r="L88" s="63">
        <v>37031.699999999997</v>
      </c>
      <c r="M88" s="63">
        <v>51004</v>
      </c>
      <c r="N88" s="63">
        <v>71834.3</v>
      </c>
      <c r="O88" s="63">
        <v>74700</v>
      </c>
      <c r="P88" s="62">
        <f t="shared" si="29"/>
        <v>1</v>
      </c>
      <c r="Q88" s="87">
        <f t="shared" ref="Q88" si="36">M88/L88</f>
        <v>1.377</v>
      </c>
    </row>
    <row r="89" spans="1:17" ht="60.75" customHeight="1" x14ac:dyDescent="0.25">
      <c r="A89" s="110"/>
      <c r="B89" s="61" t="s">
        <v>156</v>
      </c>
      <c r="C89" s="61" t="s">
        <v>39</v>
      </c>
      <c r="D89" s="14">
        <v>217</v>
      </c>
      <c r="E89" s="14"/>
      <c r="F89" s="14">
        <v>217</v>
      </c>
      <c r="G89" s="14">
        <v>217</v>
      </c>
      <c r="H89" s="14">
        <v>217</v>
      </c>
      <c r="I89" s="62">
        <f>F89/D89</f>
        <v>1</v>
      </c>
      <c r="J89" s="62"/>
      <c r="K89" s="63">
        <v>10880.1</v>
      </c>
      <c r="L89" s="63"/>
      <c r="M89" s="63">
        <v>700.7</v>
      </c>
      <c r="N89" s="63">
        <v>728</v>
      </c>
      <c r="O89" s="63">
        <v>757.1</v>
      </c>
      <c r="P89" s="62">
        <f t="shared" si="29"/>
        <v>6.4000000000000001E-2</v>
      </c>
      <c r="Q89" s="62"/>
    </row>
    <row r="90" spans="1:17" ht="45.75" customHeight="1" x14ac:dyDescent="0.25">
      <c r="A90" s="110"/>
      <c r="B90" s="61" t="s">
        <v>155</v>
      </c>
      <c r="C90" s="61" t="s">
        <v>143</v>
      </c>
      <c r="D90" s="14">
        <v>25</v>
      </c>
      <c r="E90" s="14"/>
      <c r="F90" s="14">
        <v>25</v>
      </c>
      <c r="G90" s="14">
        <v>25</v>
      </c>
      <c r="H90" s="14">
        <v>25</v>
      </c>
      <c r="I90" s="62">
        <f t="shared" si="34"/>
        <v>1</v>
      </c>
      <c r="J90" s="62"/>
      <c r="K90" s="63">
        <v>2045.7</v>
      </c>
      <c r="L90" s="63"/>
      <c r="M90" s="63">
        <v>486.3</v>
      </c>
      <c r="N90" s="63">
        <v>505.3</v>
      </c>
      <c r="O90" s="63">
        <v>525.5</v>
      </c>
      <c r="P90" s="62">
        <f t="shared" si="29"/>
        <v>0.23799999999999999</v>
      </c>
      <c r="Q90" s="62"/>
    </row>
    <row r="91" spans="1:17" ht="45.75" customHeight="1" x14ac:dyDescent="0.25">
      <c r="A91" s="110"/>
      <c r="B91" s="61" t="s">
        <v>232</v>
      </c>
      <c r="C91" s="61" t="s">
        <v>138</v>
      </c>
      <c r="D91" s="14"/>
      <c r="E91" s="14">
        <v>1129749</v>
      </c>
      <c r="F91" s="14">
        <v>1129749</v>
      </c>
      <c r="G91" s="14">
        <v>1129749</v>
      </c>
      <c r="H91" s="14">
        <v>1129749</v>
      </c>
      <c r="I91" s="62"/>
      <c r="J91" s="62">
        <f t="shared" si="35"/>
        <v>1</v>
      </c>
      <c r="K91" s="63"/>
      <c r="L91" s="63">
        <v>85589.7</v>
      </c>
      <c r="M91" s="63">
        <v>53718.9</v>
      </c>
      <c r="N91" s="63">
        <v>80461.899999999994</v>
      </c>
      <c r="O91" s="63">
        <v>96166.2</v>
      </c>
      <c r="P91" s="62"/>
      <c r="Q91" s="62">
        <f t="shared" si="30"/>
        <v>0.628</v>
      </c>
    </row>
    <row r="92" spans="1:17" ht="37.5" customHeight="1" x14ac:dyDescent="0.25">
      <c r="A92" s="111"/>
      <c r="B92" s="61" t="s">
        <v>233</v>
      </c>
      <c r="C92" s="61" t="s">
        <v>138</v>
      </c>
      <c r="D92" s="14">
        <v>145</v>
      </c>
      <c r="E92" s="14">
        <v>576</v>
      </c>
      <c r="F92" s="14">
        <v>696.6</v>
      </c>
      <c r="G92" s="14">
        <v>696.6</v>
      </c>
      <c r="H92" s="14">
        <v>696.6</v>
      </c>
      <c r="I92" s="62">
        <f t="shared" si="34"/>
        <v>4.8040000000000003</v>
      </c>
      <c r="J92" s="62">
        <f t="shared" si="35"/>
        <v>1.2090000000000001</v>
      </c>
      <c r="K92" s="63">
        <v>9274.1</v>
      </c>
      <c r="L92" s="63">
        <v>29438.400000000001</v>
      </c>
      <c r="M92" s="63">
        <v>30000</v>
      </c>
      <c r="N92" s="86">
        <v>30000</v>
      </c>
      <c r="O92" s="86">
        <v>30000</v>
      </c>
      <c r="P92" s="62">
        <f t="shared" si="29"/>
        <v>3.2349999999999999</v>
      </c>
      <c r="Q92" s="62">
        <f t="shared" si="30"/>
        <v>1.0189999999999999</v>
      </c>
    </row>
    <row r="93" spans="1:17" ht="106.5" customHeight="1" x14ac:dyDescent="0.25">
      <c r="A93" s="19" t="s">
        <v>234</v>
      </c>
      <c r="B93" s="61" t="s">
        <v>235</v>
      </c>
      <c r="C93" s="61" t="s">
        <v>138</v>
      </c>
      <c r="D93" s="14">
        <v>16872</v>
      </c>
      <c r="E93" s="14"/>
      <c r="F93" s="14"/>
      <c r="G93" s="14"/>
      <c r="H93" s="14"/>
      <c r="I93" s="62">
        <f t="shared" si="34"/>
        <v>0</v>
      </c>
      <c r="J93" s="62"/>
      <c r="K93" s="63">
        <v>24225.3</v>
      </c>
      <c r="L93" s="63"/>
      <c r="M93" s="63"/>
      <c r="N93" s="63"/>
      <c r="O93" s="63"/>
      <c r="P93" s="62">
        <f t="shared" si="29"/>
        <v>0</v>
      </c>
      <c r="Q93" s="62"/>
    </row>
    <row r="94" spans="1:17" ht="15" x14ac:dyDescent="0.25">
      <c r="A94" s="106" t="s">
        <v>25</v>
      </c>
      <c r="B94" s="106"/>
      <c r="C94" s="106"/>
      <c r="D94" s="7"/>
      <c r="E94" s="7"/>
      <c r="F94" s="7"/>
      <c r="G94" s="7"/>
      <c r="H94" s="7"/>
      <c r="I94" s="62"/>
      <c r="J94" s="62"/>
      <c r="K94" s="7"/>
      <c r="L94" s="7"/>
      <c r="M94" s="7"/>
      <c r="N94" s="7"/>
      <c r="O94" s="7"/>
      <c r="P94" s="62"/>
      <c r="Q94" s="62"/>
    </row>
    <row r="95" spans="1:17" ht="31.5" x14ac:dyDescent="0.25">
      <c r="A95" s="77" t="s">
        <v>90</v>
      </c>
      <c r="B95" s="161" t="s">
        <v>89</v>
      </c>
      <c r="C95" s="161" t="s">
        <v>309</v>
      </c>
      <c r="D95" s="7">
        <f>190+132</f>
        <v>322</v>
      </c>
      <c r="E95" s="7">
        <f>194+140</f>
        <v>334</v>
      </c>
      <c r="F95" s="7">
        <f t="shared" ref="F95:H95" si="37">194+140</f>
        <v>334</v>
      </c>
      <c r="G95" s="7">
        <f t="shared" si="37"/>
        <v>334</v>
      </c>
      <c r="H95" s="71">
        <f t="shared" si="37"/>
        <v>334</v>
      </c>
      <c r="I95" s="62">
        <f t="shared" ref="I95:I126" si="38">F95/D95</f>
        <v>1.0369999999999999</v>
      </c>
      <c r="J95" s="62">
        <f t="shared" ref="J95:J127" si="39">F95/E95</f>
        <v>1</v>
      </c>
      <c r="K95" s="71">
        <f>14543.7+14104</f>
        <v>28647.7</v>
      </c>
      <c r="L95" s="71">
        <v>28931.3</v>
      </c>
      <c r="M95" s="71">
        <v>28931.3</v>
      </c>
      <c r="N95" s="71">
        <v>28931.3</v>
      </c>
      <c r="O95" s="71">
        <v>28931.3</v>
      </c>
      <c r="P95" s="62">
        <f t="shared" ref="P95:P126" si="40">M95/K95</f>
        <v>1.01</v>
      </c>
      <c r="Q95" s="62">
        <f t="shared" ref="Q95:Q127" si="41">M95/L95</f>
        <v>1</v>
      </c>
    </row>
    <row r="96" spans="1:17" ht="31.5" x14ac:dyDescent="0.25">
      <c r="A96" s="77" t="s">
        <v>88</v>
      </c>
      <c r="B96" s="161" t="s">
        <v>89</v>
      </c>
      <c r="C96" s="161" t="s">
        <v>309</v>
      </c>
      <c r="D96" s="7">
        <f>225+377</f>
        <v>602</v>
      </c>
      <c r="E96" s="7">
        <f>220+420</f>
        <v>640</v>
      </c>
      <c r="F96" s="7">
        <f t="shared" ref="F96:H96" si="42">220+420</f>
        <v>640</v>
      </c>
      <c r="G96" s="7">
        <f t="shared" si="42"/>
        <v>640</v>
      </c>
      <c r="H96" s="71">
        <f t="shared" si="42"/>
        <v>640</v>
      </c>
      <c r="I96" s="62">
        <f t="shared" si="38"/>
        <v>1.0629999999999999</v>
      </c>
      <c r="J96" s="62">
        <f t="shared" si="39"/>
        <v>1</v>
      </c>
      <c r="K96" s="72">
        <v>36308.9</v>
      </c>
      <c r="L96" s="72">
        <v>36308.9</v>
      </c>
      <c r="M96" s="72">
        <v>36308.9</v>
      </c>
      <c r="N96" s="72">
        <v>36308.9</v>
      </c>
      <c r="O96" s="72">
        <v>36308.9</v>
      </c>
      <c r="P96" s="62">
        <f t="shared" si="40"/>
        <v>1</v>
      </c>
      <c r="Q96" s="62">
        <f t="shared" si="41"/>
        <v>1</v>
      </c>
    </row>
    <row r="97" spans="1:19" ht="31.5" x14ac:dyDescent="0.25">
      <c r="A97" s="77" t="s">
        <v>91</v>
      </c>
      <c r="B97" s="77" t="s">
        <v>318</v>
      </c>
      <c r="C97" s="77" t="s">
        <v>179</v>
      </c>
      <c r="D97" s="7">
        <f>381893+70875</f>
        <v>452768</v>
      </c>
      <c r="E97" s="7">
        <f>381893+70875</f>
        <v>452768</v>
      </c>
      <c r="F97" s="7">
        <f t="shared" ref="F97:H97" si="43">381893+70875</f>
        <v>452768</v>
      </c>
      <c r="G97" s="7">
        <f t="shared" si="43"/>
        <v>452768</v>
      </c>
      <c r="H97" s="71">
        <f t="shared" si="43"/>
        <v>452768</v>
      </c>
      <c r="I97" s="62">
        <f t="shared" si="38"/>
        <v>1</v>
      </c>
      <c r="J97" s="62">
        <f t="shared" si="39"/>
        <v>1</v>
      </c>
      <c r="K97" s="71">
        <f>6589.6+1222.9</f>
        <v>7812.5</v>
      </c>
      <c r="L97" s="71">
        <f>6589.6+1222.9</f>
        <v>7812.5</v>
      </c>
      <c r="M97" s="71">
        <f t="shared" ref="M97:O97" si="44">6589.6+1222.9</f>
        <v>7812.5</v>
      </c>
      <c r="N97" s="71">
        <f t="shared" si="44"/>
        <v>7812.5</v>
      </c>
      <c r="O97" s="71">
        <f t="shared" si="44"/>
        <v>7812.5</v>
      </c>
      <c r="P97" s="62">
        <f t="shared" si="40"/>
        <v>1</v>
      </c>
      <c r="Q97" s="62">
        <f t="shared" si="41"/>
        <v>1</v>
      </c>
    </row>
    <row r="98" spans="1:19" x14ac:dyDescent="0.25">
      <c r="A98" s="161" t="s">
        <v>100</v>
      </c>
      <c r="B98" s="161" t="s">
        <v>89</v>
      </c>
      <c r="C98" s="161" t="s">
        <v>309</v>
      </c>
      <c r="D98" s="7">
        <f>57+189</f>
        <v>246</v>
      </c>
      <c r="E98" s="7">
        <f>51+220</f>
        <v>271</v>
      </c>
      <c r="F98" s="7">
        <f t="shared" ref="F98:H98" si="45">51+220</f>
        <v>271</v>
      </c>
      <c r="G98" s="7">
        <f t="shared" si="45"/>
        <v>271</v>
      </c>
      <c r="H98" s="71">
        <f t="shared" si="45"/>
        <v>271</v>
      </c>
      <c r="I98" s="62">
        <f t="shared" si="38"/>
        <v>1.1020000000000001</v>
      </c>
      <c r="J98" s="62">
        <f t="shared" si="39"/>
        <v>1</v>
      </c>
      <c r="K98" s="71">
        <f>1951.7+6471.4</f>
        <v>8423.1</v>
      </c>
      <c r="L98" s="71">
        <f>1951.7+6471.4</f>
        <v>8423.1</v>
      </c>
      <c r="M98" s="71">
        <f t="shared" ref="M98:O98" si="46">1951.7+6471.4</f>
        <v>8423.1</v>
      </c>
      <c r="N98" s="71">
        <f t="shared" si="46"/>
        <v>8423.1</v>
      </c>
      <c r="O98" s="71">
        <f t="shared" si="46"/>
        <v>8423.1</v>
      </c>
      <c r="P98" s="62">
        <f t="shared" si="40"/>
        <v>1</v>
      </c>
      <c r="Q98" s="62">
        <f t="shared" si="41"/>
        <v>1</v>
      </c>
    </row>
    <row r="99" spans="1:19" x14ac:dyDescent="0.25">
      <c r="A99" s="162" t="s">
        <v>99</v>
      </c>
      <c r="B99" s="161" t="s">
        <v>89</v>
      </c>
      <c r="C99" s="161" t="s">
        <v>309</v>
      </c>
      <c r="D99" s="7">
        <f>280+236</f>
        <v>516</v>
      </c>
      <c r="E99" s="7">
        <f>252+260</f>
        <v>512</v>
      </c>
      <c r="F99" s="7">
        <f t="shared" ref="F99:H99" si="47">252+260</f>
        <v>512</v>
      </c>
      <c r="G99" s="7">
        <f t="shared" si="47"/>
        <v>512</v>
      </c>
      <c r="H99" s="71">
        <f t="shared" si="47"/>
        <v>512</v>
      </c>
      <c r="I99" s="62">
        <f t="shared" si="38"/>
        <v>0.99199999999999999</v>
      </c>
      <c r="J99" s="62">
        <f t="shared" si="39"/>
        <v>1</v>
      </c>
      <c r="K99" s="71">
        <v>16200.3</v>
      </c>
      <c r="L99" s="71">
        <v>16200.3</v>
      </c>
      <c r="M99" s="71">
        <v>16200.3</v>
      </c>
      <c r="N99" s="71">
        <v>16200.3</v>
      </c>
      <c r="O99" s="71">
        <v>16200.3</v>
      </c>
      <c r="P99" s="62">
        <f t="shared" si="40"/>
        <v>1</v>
      </c>
      <c r="Q99" s="62">
        <f t="shared" si="41"/>
        <v>1</v>
      </c>
    </row>
    <row r="100" spans="1:19" ht="141.75" x14ac:dyDescent="0.25">
      <c r="A100" s="163" t="s">
        <v>93</v>
      </c>
      <c r="B100" s="161" t="s">
        <v>89</v>
      </c>
      <c r="C100" s="161" t="s">
        <v>309</v>
      </c>
      <c r="D100" s="7">
        <v>290</v>
      </c>
      <c r="E100" s="7">
        <v>290</v>
      </c>
      <c r="F100" s="7">
        <v>290</v>
      </c>
      <c r="G100" s="7">
        <v>290</v>
      </c>
      <c r="H100" s="71">
        <v>290</v>
      </c>
      <c r="I100" s="62">
        <f t="shared" si="38"/>
        <v>1</v>
      </c>
      <c r="J100" s="62">
        <f t="shared" si="39"/>
        <v>1</v>
      </c>
      <c r="K100" s="71">
        <v>4662.2</v>
      </c>
      <c r="L100" s="71">
        <v>4662.2</v>
      </c>
      <c r="M100" s="71">
        <v>4662.2</v>
      </c>
      <c r="N100" s="71">
        <v>4662.2</v>
      </c>
      <c r="O100" s="71">
        <v>4805.1000000000004</v>
      </c>
      <c r="P100" s="62">
        <f t="shared" si="40"/>
        <v>1</v>
      </c>
      <c r="Q100" s="62">
        <f t="shared" si="41"/>
        <v>1</v>
      </c>
    </row>
    <row r="101" spans="1:19" ht="47.25" x14ac:dyDescent="0.25">
      <c r="A101" s="77" t="s">
        <v>319</v>
      </c>
      <c r="B101" s="161"/>
      <c r="C101" s="161"/>
      <c r="D101" s="7">
        <v>185790</v>
      </c>
      <c r="E101" s="7">
        <v>262351</v>
      </c>
      <c r="F101" s="7">
        <v>288292</v>
      </c>
      <c r="G101" s="7">
        <v>288292</v>
      </c>
      <c r="H101" s="71">
        <v>290795</v>
      </c>
      <c r="I101" s="62">
        <f t="shared" si="38"/>
        <v>1.552</v>
      </c>
      <c r="J101" s="62">
        <f t="shared" si="39"/>
        <v>1.099</v>
      </c>
      <c r="K101" s="71">
        <v>20044</v>
      </c>
      <c r="L101" s="71">
        <v>26805.9</v>
      </c>
      <c r="M101" s="71">
        <v>26805.9</v>
      </c>
      <c r="N101" s="71">
        <v>26805.9</v>
      </c>
      <c r="O101" s="71">
        <v>26805.9</v>
      </c>
      <c r="P101" s="62">
        <f t="shared" si="40"/>
        <v>1.337</v>
      </c>
      <c r="Q101" s="62">
        <f t="shared" si="41"/>
        <v>1</v>
      </c>
    </row>
    <row r="102" spans="1:19" x14ac:dyDescent="0.25">
      <c r="A102" s="161" t="s">
        <v>320</v>
      </c>
      <c r="B102" s="161"/>
      <c r="C102" s="161"/>
      <c r="D102" s="7"/>
      <c r="E102" s="7"/>
      <c r="F102" s="7"/>
      <c r="G102" s="7"/>
      <c r="H102" s="71"/>
      <c r="I102" s="62"/>
      <c r="J102" s="62"/>
      <c r="K102" s="71"/>
      <c r="L102" s="71"/>
      <c r="M102" s="71"/>
      <c r="N102" s="71"/>
      <c r="O102" s="71"/>
      <c r="P102" s="62"/>
      <c r="Q102" s="62"/>
    </row>
    <row r="103" spans="1:19" x14ac:dyDescent="0.25">
      <c r="A103" s="77" t="s">
        <v>98</v>
      </c>
      <c r="B103" s="161" t="s">
        <v>321</v>
      </c>
      <c r="C103" s="161"/>
      <c r="D103" s="7">
        <v>6</v>
      </c>
      <c r="E103" s="7">
        <v>6</v>
      </c>
      <c r="F103" s="7">
        <v>6</v>
      </c>
      <c r="G103" s="7">
        <v>6</v>
      </c>
      <c r="H103" s="71">
        <v>6</v>
      </c>
      <c r="I103" s="62">
        <f t="shared" si="38"/>
        <v>1</v>
      </c>
      <c r="J103" s="62">
        <f t="shared" si="39"/>
        <v>1</v>
      </c>
      <c r="K103" s="71">
        <v>2113.5</v>
      </c>
      <c r="L103" s="71">
        <v>2112.5</v>
      </c>
      <c r="M103" s="71">
        <v>2112.5</v>
      </c>
      <c r="N103" s="71">
        <v>2112.5</v>
      </c>
      <c r="O103" s="71">
        <v>2112.5</v>
      </c>
      <c r="P103" s="62">
        <f t="shared" si="40"/>
        <v>1</v>
      </c>
      <c r="Q103" s="62">
        <f t="shared" si="41"/>
        <v>1</v>
      </c>
    </row>
    <row r="104" spans="1:19" x14ac:dyDescent="0.25">
      <c r="A104" s="77" t="s">
        <v>322</v>
      </c>
      <c r="B104" s="161" t="s">
        <v>321</v>
      </c>
      <c r="C104" s="161"/>
      <c r="D104" s="7">
        <v>63</v>
      </c>
      <c r="E104" s="7">
        <v>63</v>
      </c>
      <c r="F104" s="7">
        <v>63</v>
      </c>
      <c r="G104" s="7">
        <v>63</v>
      </c>
      <c r="H104" s="71">
        <v>63</v>
      </c>
      <c r="I104" s="62">
        <f t="shared" si="38"/>
        <v>1</v>
      </c>
      <c r="J104" s="62">
        <f t="shared" si="39"/>
        <v>1</v>
      </c>
      <c r="K104" s="71">
        <v>5265</v>
      </c>
      <c r="L104" s="71">
        <v>5255.1</v>
      </c>
      <c r="M104" s="71">
        <v>5255.1</v>
      </c>
      <c r="N104" s="71">
        <v>5255.1</v>
      </c>
      <c r="O104" s="71">
        <v>5255.1</v>
      </c>
      <c r="P104" s="62">
        <f t="shared" si="40"/>
        <v>0.998</v>
      </c>
      <c r="Q104" s="62">
        <f t="shared" si="41"/>
        <v>1</v>
      </c>
    </row>
    <row r="105" spans="1:19" ht="31.5" x14ac:dyDescent="0.25">
      <c r="A105" s="77" t="s">
        <v>323</v>
      </c>
      <c r="B105" s="161" t="s">
        <v>324</v>
      </c>
      <c r="C105" s="161"/>
      <c r="D105" s="7">
        <v>2</v>
      </c>
      <c r="E105" s="7">
        <v>2</v>
      </c>
      <c r="F105" s="7">
        <v>2</v>
      </c>
      <c r="G105" s="7">
        <v>2</v>
      </c>
      <c r="H105" s="71">
        <v>2</v>
      </c>
      <c r="I105" s="62">
        <f t="shared" si="38"/>
        <v>1</v>
      </c>
      <c r="J105" s="62">
        <f t="shared" si="39"/>
        <v>1</v>
      </c>
      <c r="K105" s="71">
        <v>653.6</v>
      </c>
      <c r="L105" s="71">
        <v>937.4</v>
      </c>
      <c r="M105" s="71">
        <v>937.4</v>
      </c>
      <c r="N105" s="71">
        <v>937.4</v>
      </c>
      <c r="O105" s="71">
        <v>937.4</v>
      </c>
      <c r="P105" s="62">
        <f t="shared" si="40"/>
        <v>1.4339999999999999</v>
      </c>
      <c r="Q105" s="62">
        <f t="shared" si="41"/>
        <v>1</v>
      </c>
    </row>
    <row r="106" spans="1:19" ht="47.25" x14ac:dyDescent="0.25">
      <c r="A106" s="77" t="s">
        <v>325</v>
      </c>
      <c r="B106" s="161"/>
      <c r="C106" s="161"/>
      <c r="D106" s="7">
        <v>49</v>
      </c>
      <c r="E106" s="7">
        <v>49</v>
      </c>
      <c r="F106" s="7">
        <v>49</v>
      </c>
      <c r="G106" s="7">
        <v>49</v>
      </c>
      <c r="H106" s="71">
        <v>49</v>
      </c>
      <c r="I106" s="62">
        <f t="shared" si="38"/>
        <v>1</v>
      </c>
      <c r="J106" s="62">
        <f t="shared" si="39"/>
        <v>1</v>
      </c>
      <c r="K106" s="71">
        <v>2603</v>
      </c>
      <c r="L106" s="71">
        <v>4380.3</v>
      </c>
      <c r="M106" s="71">
        <v>4380.3</v>
      </c>
      <c r="N106" s="71">
        <v>4380.3</v>
      </c>
      <c r="O106" s="71">
        <v>4380.3</v>
      </c>
      <c r="P106" s="62">
        <f t="shared" si="40"/>
        <v>1.6830000000000001</v>
      </c>
      <c r="Q106" s="62">
        <f t="shared" si="41"/>
        <v>1</v>
      </c>
    </row>
    <row r="107" spans="1:19" x14ac:dyDescent="0.25">
      <c r="A107" s="164" t="s">
        <v>326</v>
      </c>
      <c r="B107" s="164"/>
      <c r="C107" s="164"/>
      <c r="D107" s="14"/>
      <c r="E107" s="14"/>
      <c r="F107" s="14"/>
      <c r="G107" s="14"/>
      <c r="H107" s="73"/>
      <c r="I107" s="62"/>
      <c r="J107" s="62"/>
      <c r="K107" s="73"/>
      <c r="L107" s="73"/>
      <c r="M107" s="73"/>
      <c r="N107" s="73"/>
      <c r="O107" s="73"/>
      <c r="P107" s="62"/>
      <c r="Q107" s="62"/>
    </row>
    <row r="108" spans="1:19" ht="47.25" x14ac:dyDescent="0.25">
      <c r="A108" s="164" t="s">
        <v>327</v>
      </c>
      <c r="B108" s="164" t="s">
        <v>328</v>
      </c>
      <c r="C108" s="164" t="s">
        <v>329</v>
      </c>
      <c r="D108" s="14">
        <v>700</v>
      </c>
      <c r="E108" s="14"/>
      <c r="F108" s="14">
        <v>700</v>
      </c>
      <c r="G108" s="14">
        <v>700</v>
      </c>
      <c r="H108" s="73">
        <v>700</v>
      </c>
      <c r="I108" s="62">
        <f t="shared" si="38"/>
        <v>1</v>
      </c>
      <c r="J108" s="62"/>
      <c r="K108" s="95">
        <v>2437.8000000000002</v>
      </c>
      <c r="L108" s="95">
        <v>2404.3000000000002</v>
      </c>
      <c r="M108" s="95">
        <v>2404.3000000000002</v>
      </c>
      <c r="N108" s="95">
        <v>2404.3000000000002</v>
      </c>
      <c r="O108" s="95">
        <v>2404.3000000000002</v>
      </c>
      <c r="P108" s="62">
        <f t="shared" si="40"/>
        <v>0.98599999999999999</v>
      </c>
      <c r="Q108" s="62">
        <f t="shared" si="41"/>
        <v>1</v>
      </c>
    </row>
    <row r="109" spans="1:19" ht="47.25" x14ac:dyDescent="0.25">
      <c r="A109" s="164" t="s">
        <v>327</v>
      </c>
      <c r="B109" s="164" t="s">
        <v>330</v>
      </c>
      <c r="C109" s="164" t="s">
        <v>331</v>
      </c>
      <c r="D109" s="14">
        <v>2</v>
      </c>
      <c r="E109" s="14">
        <v>2</v>
      </c>
      <c r="F109" s="14">
        <v>2</v>
      </c>
      <c r="G109" s="14">
        <v>2</v>
      </c>
      <c r="H109" s="73">
        <v>2</v>
      </c>
      <c r="I109" s="62">
        <f t="shared" si="38"/>
        <v>1</v>
      </c>
      <c r="J109" s="62">
        <f t="shared" si="39"/>
        <v>1</v>
      </c>
      <c r="K109" s="96"/>
      <c r="L109" s="96"/>
      <c r="M109" s="96"/>
      <c r="N109" s="96"/>
      <c r="O109" s="96"/>
      <c r="P109" s="62"/>
      <c r="Q109" s="62"/>
    </row>
    <row r="110" spans="1:19" ht="47.25" x14ac:dyDescent="0.25">
      <c r="A110" s="164" t="s">
        <v>332</v>
      </c>
      <c r="B110" s="164" t="s">
        <v>333</v>
      </c>
      <c r="C110" s="164" t="s">
        <v>331</v>
      </c>
      <c r="D110" s="14">
        <v>4</v>
      </c>
      <c r="E110" s="14">
        <v>4</v>
      </c>
      <c r="F110" s="14">
        <v>4</v>
      </c>
      <c r="G110" s="14">
        <v>4</v>
      </c>
      <c r="H110" s="73">
        <v>4</v>
      </c>
      <c r="I110" s="62">
        <f t="shared" si="38"/>
        <v>1</v>
      </c>
      <c r="J110" s="62">
        <f t="shared" si="39"/>
        <v>1</v>
      </c>
      <c r="K110" s="73">
        <v>765</v>
      </c>
      <c r="L110" s="74">
        <v>764</v>
      </c>
      <c r="M110" s="74">
        <v>764</v>
      </c>
      <c r="N110" s="74">
        <v>764</v>
      </c>
      <c r="O110" s="74">
        <v>764</v>
      </c>
      <c r="P110" s="62">
        <f t="shared" si="40"/>
        <v>0.999</v>
      </c>
      <c r="Q110" s="62">
        <f t="shared" si="41"/>
        <v>1</v>
      </c>
    </row>
    <row r="111" spans="1:19" ht="31.5" x14ac:dyDescent="0.25">
      <c r="A111" s="164" t="s">
        <v>334</v>
      </c>
      <c r="B111" s="164" t="s">
        <v>335</v>
      </c>
      <c r="C111" s="164" t="s">
        <v>331</v>
      </c>
      <c r="D111" s="14">
        <v>1200</v>
      </c>
      <c r="E111" s="14">
        <v>1200</v>
      </c>
      <c r="F111" s="14">
        <v>1200</v>
      </c>
      <c r="G111" s="14">
        <v>1200</v>
      </c>
      <c r="H111" s="73">
        <v>1200</v>
      </c>
      <c r="I111" s="62">
        <f t="shared" si="38"/>
        <v>1</v>
      </c>
      <c r="J111" s="62">
        <f t="shared" si="39"/>
        <v>1</v>
      </c>
      <c r="K111" s="73">
        <v>1420.1</v>
      </c>
      <c r="L111" s="73">
        <v>1410.2</v>
      </c>
      <c r="M111" s="73">
        <v>1410.2</v>
      </c>
      <c r="N111" s="73">
        <v>1410.2</v>
      </c>
      <c r="O111" s="73">
        <v>1410.2</v>
      </c>
      <c r="P111" s="62">
        <f t="shared" si="40"/>
        <v>0.99299999999999999</v>
      </c>
      <c r="Q111" s="62">
        <f t="shared" si="41"/>
        <v>1</v>
      </c>
    </row>
    <row r="112" spans="1:19" ht="31.5" x14ac:dyDescent="0.25">
      <c r="A112" s="77" t="s">
        <v>91</v>
      </c>
      <c r="B112" s="77" t="s">
        <v>318</v>
      </c>
      <c r="C112" s="77" t="s">
        <v>179</v>
      </c>
      <c r="D112" s="7">
        <f>15705+3000+5760</f>
        <v>24465</v>
      </c>
      <c r="E112" s="7">
        <f>8640+3000+8400</f>
        <v>20040</v>
      </c>
      <c r="F112" s="7">
        <f t="shared" ref="F112:H112" si="48">E112</f>
        <v>20040</v>
      </c>
      <c r="G112" s="7">
        <f t="shared" si="48"/>
        <v>20040</v>
      </c>
      <c r="H112" s="71">
        <f t="shared" si="48"/>
        <v>20040</v>
      </c>
      <c r="I112" s="62">
        <f t="shared" si="38"/>
        <v>0.81899999999999995</v>
      </c>
      <c r="J112" s="62">
        <f t="shared" si="39"/>
        <v>1</v>
      </c>
      <c r="K112" s="72">
        <f>(3334381.77+3620100+761068)/1000</f>
        <v>7715.5</v>
      </c>
      <c r="L112" s="72">
        <f>(3044975.3+3920100+1108800)/1000</f>
        <v>8073.9</v>
      </c>
      <c r="M112" s="72">
        <f>(3094975.3+3920100+1108800)/1000</f>
        <v>8123.9</v>
      </c>
      <c r="N112" s="72">
        <f t="shared" ref="N112:O119" si="49">M112</f>
        <v>8123.9</v>
      </c>
      <c r="O112" s="72">
        <f t="shared" si="49"/>
        <v>8123.9</v>
      </c>
      <c r="P112" s="62">
        <f t="shared" si="40"/>
        <v>1.0529999999999999</v>
      </c>
      <c r="Q112" s="62">
        <f t="shared" si="41"/>
        <v>1.006</v>
      </c>
      <c r="S112">
        <v>1000</v>
      </c>
    </row>
    <row r="113" spans="1:17" s="79" customFormat="1" ht="31.5" x14ac:dyDescent="0.25">
      <c r="A113" s="77" t="s">
        <v>102</v>
      </c>
      <c r="B113" s="77" t="s">
        <v>92</v>
      </c>
      <c r="C113" s="77" t="s">
        <v>179</v>
      </c>
      <c r="D113" s="7">
        <f>(44139+7920+3264)+80784</f>
        <v>136107</v>
      </c>
      <c r="E113" s="7">
        <f>(29908+7920+3264)+116640</f>
        <v>157732</v>
      </c>
      <c r="F113" s="7">
        <f>(29908+7920+3264)+116640</f>
        <v>157732</v>
      </c>
      <c r="G113" s="7">
        <f>(29908+7920+3264)+116640</f>
        <v>157732</v>
      </c>
      <c r="H113" s="7">
        <f>(G113)+116640</f>
        <v>274372</v>
      </c>
      <c r="I113" s="62">
        <f t="shared" ref="I113" si="50">F113/D113</f>
        <v>1.159</v>
      </c>
      <c r="J113" s="62">
        <f t="shared" ref="J113" si="51">F113/E113</f>
        <v>1</v>
      </c>
      <c r="K113" s="78">
        <f>((3791768.05+4480264.8+2092876.8)/1000)+6323.8</f>
        <v>16688.7</v>
      </c>
      <c r="L113" s="78">
        <f>((2569097.2+4268400+2092876.8)/1000)+7323.8</f>
        <v>16254.2</v>
      </c>
      <c r="M113" s="78">
        <f>((L113+49000)/1000)+7323.8</f>
        <v>7389.1</v>
      </c>
      <c r="N113" s="78">
        <f>(M113)+7323.8</f>
        <v>14712.9</v>
      </c>
      <c r="O113" s="78">
        <f>(N113)+7323.8</f>
        <v>22036.7</v>
      </c>
      <c r="P113" s="62">
        <f t="shared" si="40"/>
        <v>0.443</v>
      </c>
      <c r="Q113" s="62">
        <f t="shared" si="41"/>
        <v>0.45500000000000002</v>
      </c>
    </row>
    <row r="114" spans="1:17" x14ac:dyDescent="0.25">
      <c r="A114" s="77" t="s">
        <v>336</v>
      </c>
      <c r="B114" s="161" t="s">
        <v>337</v>
      </c>
      <c r="C114" s="77" t="s">
        <v>180</v>
      </c>
      <c r="D114" s="7">
        <v>0</v>
      </c>
      <c r="E114" s="7">
        <v>40</v>
      </c>
      <c r="F114" s="7">
        <v>40</v>
      </c>
      <c r="G114" s="7">
        <v>40</v>
      </c>
      <c r="H114" s="71">
        <v>40</v>
      </c>
      <c r="I114" s="62"/>
      <c r="J114" s="62">
        <f t="shared" si="39"/>
        <v>1</v>
      </c>
      <c r="K114" s="72">
        <v>0</v>
      </c>
      <c r="L114" s="72">
        <v>1368.2</v>
      </c>
      <c r="M114" s="72">
        <f>(L114+50000)/1000</f>
        <v>51.4</v>
      </c>
      <c r="N114" s="72">
        <f t="shared" si="49"/>
        <v>51.4</v>
      </c>
      <c r="O114" s="72">
        <f t="shared" si="49"/>
        <v>51.4</v>
      </c>
      <c r="P114" s="62"/>
      <c r="Q114" s="62">
        <f t="shared" si="41"/>
        <v>3.7999999999999999E-2</v>
      </c>
    </row>
    <row r="115" spans="1:17" ht="110.25" x14ac:dyDescent="0.25">
      <c r="A115" s="77" t="s">
        <v>338</v>
      </c>
      <c r="B115" s="77" t="s">
        <v>339</v>
      </c>
      <c r="C115" s="77" t="s">
        <v>340</v>
      </c>
      <c r="D115" s="7">
        <v>2155</v>
      </c>
      <c r="E115" s="7">
        <v>2155</v>
      </c>
      <c r="F115" s="7">
        <v>2310</v>
      </c>
      <c r="G115" s="7">
        <v>2310</v>
      </c>
      <c r="H115" s="71">
        <v>2310</v>
      </c>
      <c r="I115" s="62">
        <f t="shared" si="38"/>
        <v>1.0720000000000001</v>
      </c>
      <c r="J115" s="62">
        <f t="shared" si="39"/>
        <v>1.0720000000000001</v>
      </c>
      <c r="K115" s="72">
        <v>2724.4</v>
      </c>
      <c r="L115" s="72">
        <v>2910.8</v>
      </c>
      <c r="M115" s="72">
        <f>(L115+15400)/1000</f>
        <v>18.3</v>
      </c>
      <c r="N115" s="72">
        <f t="shared" si="49"/>
        <v>18.3</v>
      </c>
      <c r="O115" s="72">
        <f t="shared" si="49"/>
        <v>18.3</v>
      </c>
      <c r="P115" s="62">
        <f t="shared" si="40"/>
        <v>7.0000000000000001E-3</v>
      </c>
      <c r="Q115" s="62">
        <f t="shared" si="41"/>
        <v>6.0000000000000001E-3</v>
      </c>
    </row>
    <row r="116" spans="1:17" ht="47.25" x14ac:dyDescent="0.25">
      <c r="A116" s="77" t="s">
        <v>341</v>
      </c>
      <c r="B116" s="77" t="s">
        <v>342</v>
      </c>
      <c r="C116" s="77" t="s">
        <v>175</v>
      </c>
      <c r="D116" s="7">
        <v>1430</v>
      </c>
      <c r="E116" s="7">
        <v>1100</v>
      </c>
      <c r="F116" s="7">
        <v>1100</v>
      </c>
      <c r="G116" s="7">
        <v>1100</v>
      </c>
      <c r="H116" s="71">
        <v>1100</v>
      </c>
      <c r="I116" s="62">
        <f t="shared" si="38"/>
        <v>0.76900000000000002</v>
      </c>
      <c r="J116" s="62">
        <f t="shared" si="39"/>
        <v>1</v>
      </c>
      <c r="K116" s="72">
        <v>3228.8</v>
      </c>
      <c r="L116" s="72">
        <v>3348.6</v>
      </c>
      <c r="M116" s="72">
        <f>(L116)/1000</f>
        <v>3.3</v>
      </c>
      <c r="N116" s="72">
        <f t="shared" si="49"/>
        <v>3.3</v>
      </c>
      <c r="O116" s="72">
        <f t="shared" si="49"/>
        <v>3.3</v>
      </c>
      <c r="P116" s="62">
        <f t="shared" si="40"/>
        <v>1E-3</v>
      </c>
      <c r="Q116" s="62">
        <f t="shared" si="41"/>
        <v>1E-3</v>
      </c>
    </row>
    <row r="117" spans="1:17" ht="31.5" customHeight="1" x14ac:dyDescent="0.25">
      <c r="A117" s="77" t="s">
        <v>343</v>
      </c>
      <c r="B117" s="77" t="s">
        <v>97</v>
      </c>
      <c r="C117" s="161" t="s">
        <v>39</v>
      </c>
      <c r="D117" s="7">
        <v>350</v>
      </c>
      <c r="E117" s="7">
        <v>350</v>
      </c>
      <c r="F117" s="7">
        <v>350</v>
      </c>
      <c r="G117" s="7">
        <v>350</v>
      </c>
      <c r="H117" s="71">
        <v>350</v>
      </c>
      <c r="I117" s="62">
        <f t="shared" si="38"/>
        <v>1</v>
      </c>
      <c r="J117" s="62">
        <f t="shared" si="39"/>
        <v>1</v>
      </c>
      <c r="K117" s="72">
        <v>327.60000000000002</v>
      </c>
      <c r="L117" s="72">
        <v>402.9</v>
      </c>
      <c r="M117" s="72">
        <f>(L117)/1000</f>
        <v>0.4</v>
      </c>
      <c r="N117" s="72">
        <f t="shared" si="49"/>
        <v>0.4</v>
      </c>
      <c r="O117" s="72">
        <f t="shared" si="49"/>
        <v>0.4</v>
      </c>
      <c r="P117" s="62">
        <f t="shared" si="40"/>
        <v>1E-3</v>
      </c>
      <c r="Q117" s="62">
        <f t="shared" si="41"/>
        <v>1E-3</v>
      </c>
    </row>
    <row r="118" spans="1:17" ht="45.75" customHeight="1" x14ac:dyDescent="0.25">
      <c r="A118" s="77" t="s">
        <v>344</v>
      </c>
      <c r="B118" s="161" t="s">
        <v>345</v>
      </c>
      <c r="C118" s="161" t="s">
        <v>189</v>
      </c>
      <c r="D118" s="7">
        <v>10</v>
      </c>
      <c r="E118" s="7">
        <v>10</v>
      </c>
      <c r="F118" s="7">
        <v>10</v>
      </c>
      <c r="G118" s="7">
        <v>10</v>
      </c>
      <c r="H118" s="71">
        <v>10</v>
      </c>
      <c r="I118" s="62">
        <f t="shared" si="38"/>
        <v>1</v>
      </c>
      <c r="J118" s="62">
        <f t="shared" si="39"/>
        <v>1</v>
      </c>
      <c r="K118" s="72">
        <v>4054.2</v>
      </c>
      <c r="L118" s="72">
        <f>(4054235.2-250000)/1000</f>
        <v>3804.2</v>
      </c>
      <c r="M118" s="72">
        <f>(L118)/1000</f>
        <v>3.8</v>
      </c>
      <c r="N118" s="72">
        <f t="shared" si="49"/>
        <v>3.8</v>
      </c>
      <c r="O118" s="72">
        <f t="shared" si="49"/>
        <v>3.8</v>
      </c>
      <c r="P118" s="62">
        <f t="shared" si="40"/>
        <v>1E-3</v>
      </c>
      <c r="Q118" s="62">
        <f t="shared" si="41"/>
        <v>1E-3</v>
      </c>
    </row>
    <row r="119" spans="1:17" ht="56.25" customHeight="1" x14ac:dyDescent="0.25">
      <c r="A119" s="77" t="s">
        <v>346</v>
      </c>
      <c r="B119" s="161" t="s">
        <v>347</v>
      </c>
      <c r="C119" s="161" t="s">
        <v>180</v>
      </c>
      <c r="D119" s="7"/>
      <c r="E119" s="7">
        <v>2</v>
      </c>
      <c r="F119" s="7">
        <v>2</v>
      </c>
      <c r="G119" s="7">
        <v>2</v>
      </c>
      <c r="H119" s="71">
        <v>2</v>
      </c>
      <c r="I119" s="62"/>
      <c r="J119" s="62">
        <f t="shared" si="39"/>
        <v>1</v>
      </c>
      <c r="K119" s="72">
        <v>0</v>
      </c>
      <c r="L119" s="72">
        <f>(461864.8+8235123.2)/1000</f>
        <v>8697</v>
      </c>
      <c r="M119" s="72">
        <f>(461864.8+8235123.2)/1000</f>
        <v>8697</v>
      </c>
      <c r="N119" s="72">
        <f t="shared" si="49"/>
        <v>8697</v>
      </c>
      <c r="O119" s="72">
        <f t="shared" si="49"/>
        <v>8697</v>
      </c>
      <c r="P119" s="62"/>
      <c r="Q119" s="62">
        <f t="shared" si="41"/>
        <v>1</v>
      </c>
    </row>
    <row r="120" spans="1:17" ht="53.25" customHeight="1" x14ac:dyDescent="0.25">
      <c r="A120" s="165" t="s">
        <v>348</v>
      </c>
      <c r="B120" s="165" t="s">
        <v>349</v>
      </c>
      <c r="C120" s="165" t="s">
        <v>189</v>
      </c>
      <c r="D120" s="166">
        <v>6</v>
      </c>
      <c r="E120" s="166"/>
      <c r="F120" s="166"/>
      <c r="G120" s="166"/>
      <c r="H120" s="75"/>
      <c r="I120" s="62">
        <f t="shared" si="38"/>
        <v>0</v>
      </c>
      <c r="J120" s="62"/>
      <c r="K120" s="76">
        <v>5834.4</v>
      </c>
      <c r="L120" s="75"/>
      <c r="M120" s="75"/>
      <c r="N120" s="75"/>
      <c r="O120" s="75"/>
      <c r="P120" s="62">
        <f t="shared" si="40"/>
        <v>0</v>
      </c>
      <c r="Q120" s="62"/>
    </row>
    <row r="121" spans="1:17" ht="45.75" customHeight="1" x14ac:dyDescent="0.25">
      <c r="A121" s="161" t="s">
        <v>350</v>
      </c>
      <c r="B121" s="77" t="s">
        <v>351</v>
      </c>
      <c r="C121" s="161" t="s">
        <v>189</v>
      </c>
      <c r="D121" s="7">
        <v>4</v>
      </c>
      <c r="E121" s="7">
        <v>4</v>
      </c>
      <c r="F121" s="7">
        <v>4</v>
      </c>
      <c r="G121" s="7">
        <v>4</v>
      </c>
      <c r="H121" s="71">
        <v>4</v>
      </c>
      <c r="I121" s="62">
        <f t="shared" si="38"/>
        <v>1</v>
      </c>
      <c r="J121" s="62">
        <f t="shared" si="39"/>
        <v>1</v>
      </c>
      <c r="K121" s="72">
        <v>3316</v>
      </c>
      <c r="L121" s="72">
        <v>3428.3</v>
      </c>
      <c r="M121" s="72">
        <v>3428.3</v>
      </c>
      <c r="N121" s="72">
        <v>3428.3</v>
      </c>
      <c r="O121" s="72">
        <v>3428.3</v>
      </c>
      <c r="P121" s="62">
        <f t="shared" si="40"/>
        <v>1.034</v>
      </c>
      <c r="Q121" s="62">
        <f t="shared" si="41"/>
        <v>1</v>
      </c>
    </row>
    <row r="122" spans="1:17" ht="79.5" customHeight="1" x14ac:dyDescent="0.25">
      <c r="A122" s="77" t="s">
        <v>352</v>
      </c>
      <c r="B122" s="161" t="s">
        <v>353</v>
      </c>
      <c r="C122" s="161" t="s">
        <v>189</v>
      </c>
      <c r="D122" s="7">
        <v>12347</v>
      </c>
      <c r="E122" s="7">
        <v>12482</v>
      </c>
      <c r="F122" s="7">
        <v>12482</v>
      </c>
      <c r="G122" s="7">
        <v>12482</v>
      </c>
      <c r="H122" s="71">
        <v>12482</v>
      </c>
      <c r="I122" s="62">
        <f t="shared" si="38"/>
        <v>1.0109999999999999</v>
      </c>
      <c r="J122" s="62">
        <f t="shared" si="39"/>
        <v>1</v>
      </c>
      <c r="K122" s="72">
        <v>9890.4</v>
      </c>
      <c r="L122" s="72">
        <v>14038.5</v>
      </c>
      <c r="M122" s="72">
        <v>11593.4</v>
      </c>
      <c r="N122" s="72">
        <v>11593.4</v>
      </c>
      <c r="O122" s="72">
        <v>11593.4</v>
      </c>
      <c r="P122" s="62">
        <f t="shared" si="40"/>
        <v>1.1719999999999999</v>
      </c>
      <c r="Q122" s="62">
        <f t="shared" si="41"/>
        <v>0.82599999999999996</v>
      </c>
    </row>
    <row r="123" spans="1:17" ht="79.5" customHeight="1" x14ac:dyDescent="0.25">
      <c r="A123" s="167" t="s">
        <v>103</v>
      </c>
      <c r="B123" s="77" t="s">
        <v>354</v>
      </c>
      <c r="C123" s="161" t="s">
        <v>175</v>
      </c>
      <c r="D123" s="7">
        <v>3371</v>
      </c>
      <c r="E123" s="7">
        <v>3505</v>
      </c>
      <c r="F123" s="7">
        <v>3551</v>
      </c>
      <c r="G123" s="7">
        <v>3551</v>
      </c>
      <c r="H123" s="71">
        <v>3551</v>
      </c>
      <c r="I123" s="62">
        <f t="shared" ref="I123" si="52">F123/D123</f>
        <v>1.0529999999999999</v>
      </c>
      <c r="J123" s="62">
        <f t="shared" ref="J123" si="53">F123/E123</f>
        <v>1.0129999999999999</v>
      </c>
      <c r="K123" s="72">
        <v>61260.1</v>
      </c>
      <c r="L123" s="72">
        <v>61574.9</v>
      </c>
      <c r="M123" s="72">
        <v>61500.7</v>
      </c>
      <c r="N123" s="72">
        <v>61500.7</v>
      </c>
      <c r="O123" s="72">
        <v>61501.7</v>
      </c>
      <c r="P123" s="62">
        <f t="shared" ref="P123" si="54">M123/K123</f>
        <v>1.004</v>
      </c>
      <c r="Q123" s="62">
        <f t="shared" ref="Q123" si="55">M123/L123</f>
        <v>0.999</v>
      </c>
    </row>
    <row r="124" spans="1:17" ht="63" x14ac:dyDescent="0.25">
      <c r="A124" s="167" t="s">
        <v>18</v>
      </c>
      <c r="B124" s="77" t="s">
        <v>354</v>
      </c>
      <c r="C124" s="161" t="s">
        <v>175</v>
      </c>
      <c r="D124" s="7">
        <v>1225</v>
      </c>
      <c r="E124" s="7">
        <v>1245</v>
      </c>
      <c r="F124" s="7">
        <v>1312</v>
      </c>
      <c r="G124" s="7">
        <v>1365</v>
      </c>
      <c r="H124" s="71">
        <v>1475</v>
      </c>
      <c r="I124" s="62">
        <f t="shared" si="38"/>
        <v>1.071</v>
      </c>
      <c r="J124" s="62">
        <f t="shared" si="39"/>
        <v>1.054</v>
      </c>
      <c r="K124" s="72">
        <v>80.099999999999994</v>
      </c>
      <c r="L124" s="72">
        <v>84.7</v>
      </c>
      <c r="M124" s="72">
        <v>84.7</v>
      </c>
      <c r="N124" s="72">
        <v>84.7</v>
      </c>
      <c r="O124" s="72">
        <v>84.7</v>
      </c>
      <c r="P124" s="62">
        <f t="shared" si="40"/>
        <v>1.0569999999999999</v>
      </c>
      <c r="Q124" s="62">
        <f t="shared" si="41"/>
        <v>1</v>
      </c>
    </row>
    <row r="125" spans="1:17" ht="78.75" x14ac:dyDescent="0.25">
      <c r="A125" s="167" t="s">
        <v>104</v>
      </c>
      <c r="B125" s="77" t="s">
        <v>355</v>
      </c>
      <c r="C125" s="167" t="s">
        <v>356</v>
      </c>
      <c r="D125" s="7">
        <v>92640</v>
      </c>
      <c r="E125" s="7">
        <v>96420</v>
      </c>
      <c r="F125" s="7">
        <v>103980</v>
      </c>
      <c r="G125" s="7">
        <v>103980</v>
      </c>
      <c r="H125" s="71">
        <v>103980</v>
      </c>
      <c r="I125" s="62">
        <f t="shared" si="38"/>
        <v>1.1220000000000001</v>
      </c>
      <c r="J125" s="62">
        <f t="shared" si="39"/>
        <v>1.0780000000000001</v>
      </c>
      <c r="K125" s="71">
        <v>5005.91632496081</v>
      </c>
      <c r="L125" s="72">
        <v>5130.6000000000004</v>
      </c>
      <c r="M125" s="71">
        <v>5130.6000000000004</v>
      </c>
      <c r="N125" s="71">
        <v>5130.6000000000004</v>
      </c>
      <c r="O125" s="71">
        <v>5130.6000000000004</v>
      </c>
      <c r="P125" s="62">
        <f t="shared" si="40"/>
        <v>1.0249999999999999</v>
      </c>
      <c r="Q125" s="62">
        <f t="shared" si="41"/>
        <v>1</v>
      </c>
    </row>
    <row r="126" spans="1:17" ht="110.25" x14ac:dyDescent="0.25">
      <c r="A126" s="167" t="s">
        <v>357</v>
      </c>
      <c r="B126" s="77" t="s">
        <v>358</v>
      </c>
      <c r="C126" s="161" t="s">
        <v>198</v>
      </c>
      <c r="D126" s="7">
        <v>75</v>
      </c>
      <c r="E126" s="7">
        <v>80</v>
      </c>
      <c r="F126" s="7">
        <v>80</v>
      </c>
      <c r="G126" s="7">
        <v>80</v>
      </c>
      <c r="H126" s="71">
        <v>80</v>
      </c>
      <c r="I126" s="62">
        <f t="shared" si="38"/>
        <v>1.0669999999999999</v>
      </c>
      <c r="J126" s="62">
        <f t="shared" si="39"/>
        <v>1</v>
      </c>
      <c r="K126" s="71">
        <v>9706.7999999999993</v>
      </c>
      <c r="L126" s="71">
        <v>8731.1</v>
      </c>
      <c r="M126" s="71">
        <v>9071.5</v>
      </c>
      <c r="N126" s="71">
        <v>8731.1</v>
      </c>
      <c r="O126" s="71">
        <v>8731.1</v>
      </c>
      <c r="P126" s="62">
        <f t="shared" si="40"/>
        <v>0.93500000000000005</v>
      </c>
      <c r="Q126" s="62">
        <f t="shared" si="41"/>
        <v>1.0389999999999999</v>
      </c>
    </row>
    <row r="127" spans="1:17" ht="47.25" x14ac:dyDescent="0.25">
      <c r="A127" s="77" t="s">
        <v>359</v>
      </c>
      <c r="B127" s="161" t="s">
        <v>358</v>
      </c>
      <c r="C127" s="161" t="s">
        <v>198</v>
      </c>
      <c r="D127" s="7">
        <v>0</v>
      </c>
      <c r="E127" s="7">
        <v>20</v>
      </c>
      <c r="F127" s="7">
        <v>20</v>
      </c>
      <c r="G127" s="7">
        <v>20</v>
      </c>
      <c r="H127" s="71">
        <v>20</v>
      </c>
      <c r="I127" s="62"/>
      <c r="J127" s="62">
        <f t="shared" si="39"/>
        <v>1</v>
      </c>
      <c r="K127" s="71">
        <v>0</v>
      </c>
      <c r="L127" s="71">
        <v>1876.7</v>
      </c>
      <c r="M127" s="71">
        <v>1953</v>
      </c>
      <c r="N127" s="71">
        <v>1876.7</v>
      </c>
      <c r="O127" s="71">
        <v>1876.7</v>
      </c>
      <c r="P127" s="62"/>
      <c r="Q127" s="62">
        <f t="shared" si="41"/>
        <v>1.0409999999999999</v>
      </c>
    </row>
    <row r="128" spans="1:17" ht="17.25" customHeight="1" x14ac:dyDescent="0.25">
      <c r="A128" s="107" t="s">
        <v>26</v>
      </c>
      <c r="B128" s="108"/>
      <c r="C128" s="18"/>
      <c r="D128" s="7"/>
      <c r="E128" s="7"/>
      <c r="F128" s="7"/>
      <c r="G128" s="7"/>
      <c r="H128" s="7"/>
      <c r="I128" s="62"/>
      <c r="J128" s="62"/>
      <c r="K128" s="7"/>
      <c r="L128" s="7"/>
      <c r="M128" s="7"/>
      <c r="N128" s="7"/>
      <c r="O128" s="7"/>
      <c r="P128" s="62"/>
      <c r="Q128" s="62"/>
    </row>
    <row r="129" spans="1:17" ht="38.25" customHeight="1" x14ac:dyDescent="0.25">
      <c r="A129" s="61" t="s">
        <v>1</v>
      </c>
      <c r="B129" s="61" t="s">
        <v>107</v>
      </c>
      <c r="C129" s="17" t="s">
        <v>40</v>
      </c>
      <c r="D129" s="86">
        <v>163041</v>
      </c>
      <c r="E129" s="86">
        <v>148930</v>
      </c>
      <c r="F129" s="86">
        <v>150280</v>
      </c>
      <c r="G129" s="86">
        <v>151630</v>
      </c>
      <c r="H129" s="66">
        <v>151630</v>
      </c>
      <c r="I129" s="67">
        <f t="shared" ref="I129:I143" si="56">F129/D129</f>
        <v>0.92200000000000004</v>
      </c>
      <c r="J129" s="67">
        <f>F129/E129</f>
        <v>1.0089999999999999</v>
      </c>
      <c r="K129" s="66">
        <v>37898.800000000003</v>
      </c>
      <c r="L129" s="66">
        <v>40030</v>
      </c>
      <c r="M129" s="66">
        <v>34061.199999999997</v>
      </c>
      <c r="N129" s="66">
        <v>34061.199999999997</v>
      </c>
      <c r="O129" s="66">
        <v>34063.199999999997</v>
      </c>
      <c r="P129" s="67">
        <f>O129/M129</f>
        <v>1</v>
      </c>
      <c r="Q129" s="67">
        <f>O129/N129</f>
        <v>1</v>
      </c>
    </row>
    <row r="130" spans="1:17" ht="17.25" customHeight="1" x14ac:dyDescent="0.25">
      <c r="A130" s="61" t="s">
        <v>300</v>
      </c>
      <c r="B130" s="61" t="s">
        <v>114</v>
      </c>
      <c r="C130" s="17" t="s">
        <v>73</v>
      </c>
      <c r="D130" s="86">
        <v>3000</v>
      </c>
      <c r="E130" s="86">
        <v>3500</v>
      </c>
      <c r="F130" s="86">
        <v>3600</v>
      </c>
      <c r="G130" s="86">
        <v>3700</v>
      </c>
      <c r="H130" s="66">
        <v>3700</v>
      </c>
      <c r="I130" s="67">
        <f>F130/D130</f>
        <v>1.2</v>
      </c>
      <c r="J130" s="67">
        <f t="shared" ref="J130:J143" si="57">F130/E130</f>
        <v>1.0289999999999999</v>
      </c>
      <c r="K130" s="66">
        <v>39074.199999999997</v>
      </c>
      <c r="L130" s="66">
        <v>40616.1</v>
      </c>
      <c r="M130" s="66">
        <v>37851.300000000003</v>
      </c>
      <c r="N130" s="66">
        <v>36939.199999999997</v>
      </c>
      <c r="O130" s="66">
        <v>36940.199999999997</v>
      </c>
      <c r="P130" s="67">
        <f t="shared" ref="P130" si="58">O130/M130</f>
        <v>0.97599999999999998</v>
      </c>
      <c r="Q130" s="67">
        <f t="shared" ref="Q130:Q131" si="59">O130/N130</f>
        <v>1</v>
      </c>
    </row>
    <row r="131" spans="1:17" ht="17.25" customHeight="1" x14ac:dyDescent="0.25">
      <c r="A131" s="168" t="s">
        <v>108</v>
      </c>
      <c r="B131" s="61" t="s">
        <v>96</v>
      </c>
      <c r="C131" s="17" t="s">
        <v>40</v>
      </c>
      <c r="D131" s="86">
        <v>50</v>
      </c>
      <c r="E131" s="86">
        <v>40</v>
      </c>
      <c r="F131" s="86">
        <v>41</v>
      </c>
      <c r="G131" s="86">
        <v>42</v>
      </c>
      <c r="H131" s="66">
        <v>42</v>
      </c>
      <c r="I131" s="67">
        <f t="shared" si="56"/>
        <v>0.82</v>
      </c>
      <c r="J131" s="67">
        <f t="shared" si="57"/>
        <v>1.0249999999999999</v>
      </c>
      <c r="K131" s="123">
        <v>10607.3</v>
      </c>
      <c r="L131" s="123">
        <v>10453.299999999999</v>
      </c>
      <c r="M131" s="123">
        <v>8839.7999999999993</v>
      </c>
      <c r="N131" s="123">
        <v>8839.7999999999993</v>
      </c>
      <c r="O131" s="123">
        <v>8840.7999999999993</v>
      </c>
      <c r="P131" s="128">
        <f>O131/M131</f>
        <v>1</v>
      </c>
      <c r="Q131" s="128">
        <f t="shared" si="59"/>
        <v>1</v>
      </c>
    </row>
    <row r="132" spans="1:17" ht="17.25" customHeight="1" x14ac:dyDescent="0.25">
      <c r="A132" s="169"/>
      <c r="B132" s="61" t="s">
        <v>96</v>
      </c>
      <c r="C132" s="17" t="s">
        <v>110</v>
      </c>
      <c r="D132" s="86">
        <v>180</v>
      </c>
      <c r="E132" s="86"/>
      <c r="F132" s="86"/>
      <c r="G132" s="86"/>
      <c r="H132" s="66"/>
      <c r="I132" s="67">
        <f t="shared" si="56"/>
        <v>0</v>
      </c>
      <c r="J132" s="67"/>
      <c r="K132" s="123"/>
      <c r="L132" s="123"/>
      <c r="M132" s="123"/>
      <c r="N132" s="123"/>
      <c r="O132" s="123"/>
      <c r="P132" s="128"/>
      <c r="Q132" s="128"/>
    </row>
    <row r="133" spans="1:17" ht="17.25" customHeight="1" x14ac:dyDescent="0.25">
      <c r="A133" s="169"/>
      <c r="B133" s="61" t="s">
        <v>96</v>
      </c>
      <c r="C133" s="17" t="s">
        <v>111</v>
      </c>
      <c r="D133" s="86">
        <v>46</v>
      </c>
      <c r="E133" s="86"/>
      <c r="F133" s="86"/>
      <c r="G133" s="86"/>
      <c r="H133" s="66"/>
      <c r="I133" s="67">
        <f t="shared" si="56"/>
        <v>0</v>
      </c>
      <c r="J133" s="67"/>
      <c r="K133" s="123"/>
      <c r="L133" s="123"/>
      <c r="M133" s="123"/>
      <c r="N133" s="123"/>
      <c r="O133" s="123"/>
      <c r="P133" s="128"/>
      <c r="Q133" s="128"/>
    </row>
    <row r="134" spans="1:17" ht="17.25" customHeight="1" x14ac:dyDescent="0.25">
      <c r="A134" s="170"/>
      <c r="B134" s="61" t="s">
        <v>112</v>
      </c>
      <c r="C134" s="17" t="s">
        <v>73</v>
      </c>
      <c r="D134" s="86">
        <v>35000</v>
      </c>
      <c r="E134" s="86"/>
      <c r="F134" s="86"/>
      <c r="G134" s="86"/>
      <c r="H134" s="66"/>
      <c r="I134" s="67">
        <f t="shared" si="56"/>
        <v>0</v>
      </c>
      <c r="J134" s="67"/>
      <c r="K134" s="123"/>
      <c r="L134" s="123"/>
      <c r="M134" s="123"/>
      <c r="N134" s="123"/>
      <c r="O134" s="123"/>
      <c r="P134" s="128"/>
      <c r="Q134" s="128"/>
    </row>
    <row r="135" spans="1:17" ht="17.25" customHeight="1" x14ac:dyDescent="0.25">
      <c r="A135" s="168" t="s">
        <v>113</v>
      </c>
      <c r="B135" s="61" t="s">
        <v>301</v>
      </c>
      <c r="C135" s="17" t="s">
        <v>40</v>
      </c>
      <c r="D135" s="86">
        <v>25</v>
      </c>
      <c r="E135" s="86"/>
      <c r="F135" s="86"/>
      <c r="G135" s="86"/>
      <c r="H135" s="66"/>
      <c r="I135" s="67">
        <f t="shared" si="56"/>
        <v>0</v>
      </c>
      <c r="J135" s="67"/>
      <c r="K135" s="116">
        <v>21647.9</v>
      </c>
      <c r="L135" s="116">
        <v>23843.1</v>
      </c>
      <c r="M135" s="116">
        <v>18452.5</v>
      </c>
      <c r="N135" s="116">
        <v>18962.599999999999</v>
      </c>
      <c r="O135" s="116">
        <v>18965.599999999999</v>
      </c>
      <c r="P135" s="112">
        <f>O135/M135</f>
        <v>1.028</v>
      </c>
      <c r="Q135" s="112">
        <f>O135/N135</f>
        <v>1</v>
      </c>
    </row>
    <row r="136" spans="1:17" ht="17.25" customHeight="1" x14ac:dyDescent="0.25">
      <c r="A136" s="169"/>
      <c r="B136" s="61" t="s">
        <v>109</v>
      </c>
      <c r="C136" s="17" t="s">
        <v>40</v>
      </c>
      <c r="D136" s="86">
        <v>215</v>
      </c>
      <c r="E136" s="86">
        <v>178</v>
      </c>
      <c r="F136" s="86">
        <v>187</v>
      </c>
      <c r="G136" s="86">
        <v>196</v>
      </c>
      <c r="H136" s="66">
        <v>196</v>
      </c>
      <c r="I136" s="67">
        <f t="shared" si="56"/>
        <v>0.87</v>
      </c>
      <c r="J136" s="67">
        <f t="shared" si="57"/>
        <v>1.0509999999999999</v>
      </c>
      <c r="K136" s="117"/>
      <c r="L136" s="117"/>
      <c r="M136" s="117"/>
      <c r="N136" s="117"/>
      <c r="O136" s="117"/>
      <c r="P136" s="113"/>
      <c r="Q136" s="113"/>
    </row>
    <row r="137" spans="1:17" ht="17.25" customHeight="1" x14ac:dyDescent="0.25">
      <c r="A137" s="170"/>
      <c r="B137" s="61" t="s">
        <v>114</v>
      </c>
      <c r="C137" s="17" t="s">
        <v>73</v>
      </c>
      <c r="D137" s="86">
        <v>72300</v>
      </c>
      <c r="E137" s="86">
        <v>54145</v>
      </c>
      <c r="F137" s="86">
        <v>56510</v>
      </c>
      <c r="G137" s="86">
        <v>58865</v>
      </c>
      <c r="H137" s="66">
        <v>58865</v>
      </c>
      <c r="I137" s="67">
        <f t="shared" si="56"/>
        <v>0.78200000000000003</v>
      </c>
      <c r="J137" s="67">
        <f t="shared" si="57"/>
        <v>1.044</v>
      </c>
      <c r="K137" s="118"/>
      <c r="L137" s="118"/>
      <c r="M137" s="118"/>
      <c r="N137" s="118"/>
      <c r="O137" s="118"/>
      <c r="P137" s="114"/>
      <c r="Q137" s="114"/>
    </row>
    <row r="138" spans="1:17" ht="17.25" customHeight="1" x14ac:dyDescent="0.25">
      <c r="A138" s="168" t="s">
        <v>302</v>
      </c>
      <c r="B138" s="61" t="s">
        <v>109</v>
      </c>
      <c r="C138" s="17" t="s">
        <v>40</v>
      </c>
      <c r="D138" s="86">
        <v>148</v>
      </c>
      <c r="E138" s="86">
        <v>144</v>
      </c>
      <c r="F138" s="86">
        <v>150</v>
      </c>
      <c r="G138" s="86">
        <v>156</v>
      </c>
      <c r="H138" s="66">
        <v>156</v>
      </c>
      <c r="I138" s="67">
        <f t="shared" si="56"/>
        <v>1.014</v>
      </c>
      <c r="J138" s="67">
        <f>F138/E138</f>
        <v>1.042</v>
      </c>
      <c r="K138" s="116">
        <v>22918.1</v>
      </c>
      <c r="L138" s="116">
        <v>23351.5</v>
      </c>
      <c r="M138" s="116">
        <v>20705.400000000001</v>
      </c>
      <c r="N138" s="116">
        <v>20705.400000000001</v>
      </c>
      <c r="O138" s="116">
        <v>20706.400000000001</v>
      </c>
      <c r="P138" s="112">
        <f>O138/M138</f>
        <v>1</v>
      </c>
      <c r="Q138" s="112">
        <f>O138/N138</f>
        <v>1</v>
      </c>
    </row>
    <row r="139" spans="1:17" ht="17.25" customHeight="1" x14ac:dyDescent="0.25">
      <c r="A139" s="170"/>
      <c r="B139" s="61" t="s">
        <v>114</v>
      </c>
      <c r="C139" s="17" t="s">
        <v>73</v>
      </c>
      <c r="D139" s="86">
        <v>24108</v>
      </c>
      <c r="E139" s="86">
        <v>22880</v>
      </c>
      <c r="F139" s="86">
        <v>23390</v>
      </c>
      <c r="G139" s="86">
        <v>24800</v>
      </c>
      <c r="H139" s="66">
        <v>24800</v>
      </c>
      <c r="I139" s="67">
        <f t="shared" si="56"/>
        <v>0.97</v>
      </c>
      <c r="J139" s="67">
        <f t="shared" si="57"/>
        <v>1.022</v>
      </c>
      <c r="K139" s="118"/>
      <c r="L139" s="118"/>
      <c r="M139" s="118"/>
      <c r="N139" s="118"/>
      <c r="O139" s="118"/>
      <c r="P139" s="114"/>
      <c r="Q139" s="114"/>
    </row>
    <row r="140" spans="1:17" ht="17.25" customHeight="1" x14ac:dyDescent="0.25">
      <c r="A140" s="168" t="s">
        <v>2</v>
      </c>
      <c r="B140" s="61" t="s">
        <v>115</v>
      </c>
      <c r="C140" s="17"/>
      <c r="D140" s="86">
        <v>19</v>
      </c>
      <c r="E140" s="86">
        <v>18</v>
      </c>
      <c r="F140" s="86">
        <v>19</v>
      </c>
      <c r="G140" s="86">
        <v>20</v>
      </c>
      <c r="H140" s="66">
        <v>20</v>
      </c>
      <c r="I140" s="67">
        <f t="shared" si="56"/>
        <v>1</v>
      </c>
      <c r="J140" s="67">
        <f t="shared" si="57"/>
        <v>1.056</v>
      </c>
      <c r="K140" s="116">
        <v>62431.8</v>
      </c>
      <c r="L140" s="116">
        <f>65919.8+1440.12</f>
        <v>67359.899999999994</v>
      </c>
      <c r="M140" s="116">
        <v>54956.800000000003</v>
      </c>
      <c r="N140" s="116">
        <v>54956.800000000003</v>
      </c>
      <c r="O140" s="116">
        <v>54957.8</v>
      </c>
      <c r="P140" s="112">
        <f>O140/M140</f>
        <v>1</v>
      </c>
      <c r="Q140" s="112">
        <f>O140/N140</f>
        <v>1</v>
      </c>
    </row>
    <row r="141" spans="1:17" ht="44.25" customHeight="1" x14ac:dyDescent="0.25">
      <c r="A141" s="169"/>
      <c r="B141" s="61" t="s">
        <v>303</v>
      </c>
      <c r="C141" s="17"/>
      <c r="D141" s="86">
        <v>12281</v>
      </c>
      <c r="E141" s="86"/>
      <c r="F141" s="86"/>
      <c r="G141" s="86"/>
      <c r="H141" s="66"/>
      <c r="I141" s="67">
        <f t="shared" si="56"/>
        <v>0</v>
      </c>
      <c r="J141" s="67"/>
      <c r="K141" s="117"/>
      <c r="L141" s="117"/>
      <c r="M141" s="117"/>
      <c r="N141" s="117"/>
      <c r="O141" s="117"/>
      <c r="P141" s="113"/>
      <c r="Q141" s="113"/>
    </row>
    <row r="142" spans="1:17" ht="17.25" customHeight="1" x14ac:dyDescent="0.25">
      <c r="A142" s="170"/>
      <c r="B142" s="61" t="s">
        <v>3</v>
      </c>
      <c r="C142" s="17" t="s">
        <v>73</v>
      </c>
      <c r="D142" s="86">
        <v>63206</v>
      </c>
      <c r="E142" s="86">
        <v>58300</v>
      </c>
      <c r="F142" s="86">
        <v>58600</v>
      </c>
      <c r="G142" s="86">
        <v>58900</v>
      </c>
      <c r="H142" s="66">
        <v>58900</v>
      </c>
      <c r="I142" s="67">
        <f t="shared" si="56"/>
        <v>0.92700000000000005</v>
      </c>
      <c r="J142" s="67">
        <f t="shared" si="57"/>
        <v>1.0049999999999999</v>
      </c>
      <c r="K142" s="118"/>
      <c r="L142" s="118"/>
      <c r="M142" s="118"/>
      <c r="N142" s="118"/>
      <c r="O142" s="118"/>
      <c r="P142" s="114"/>
      <c r="Q142" s="114"/>
    </row>
    <row r="143" spans="1:17" ht="36.75" customHeight="1" x14ac:dyDescent="0.25">
      <c r="A143" s="61" t="s">
        <v>122</v>
      </c>
      <c r="B143" s="61" t="s">
        <v>304</v>
      </c>
      <c r="C143" s="17" t="s">
        <v>39</v>
      </c>
      <c r="D143" s="86">
        <v>4</v>
      </c>
      <c r="E143" s="86">
        <v>4</v>
      </c>
      <c r="F143" s="86">
        <v>4</v>
      </c>
      <c r="G143" s="86">
        <v>4</v>
      </c>
      <c r="H143" s="66">
        <v>4</v>
      </c>
      <c r="I143" s="67">
        <f t="shared" si="56"/>
        <v>1</v>
      </c>
      <c r="J143" s="67">
        <f t="shared" si="57"/>
        <v>1</v>
      </c>
      <c r="K143" s="66">
        <v>10607.3</v>
      </c>
      <c r="L143" s="66">
        <v>10453.299999999999</v>
      </c>
      <c r="M143" s="66">
        <v>8839.7999999999993</v>
      </c>
      <c r="N143" s="66">
        <v>8839.7999999999993</v>
      </c>
      <c r="O143" s="66">
        <v>8840.7999999999993</v>
      </c>
      <c r="P143" s="67">
        <f t="shared" ref="P143" si="60">M143/K143</f>
        <v>0.83299999999999996</v>
      </c>
      <c r="Q143" s="67">
        <f t="shared" ref="Q143" si="61">M143/L143</f>
        <v>0.84599999999999997</v>
      </c>
    </row>
    <row r="144" spans="1:17" ht="54.75" customHeight="1" x14ac:dyDescent="0.25">
      <c r="A144" s="171" t="s">
        <v>305</v>
      </c>
      <c r="B144" s="172" t="s">
        <v>126</v>
      </c>
      <c r="C144" s="172" t="s">
        <v>127</v>
      </c>
      <c r="D144" s="86">
        <v>9.4</v>
      </c>
      <c r="E144" s="86">
        <v>9.4</v>
      </c>
      <c r="F144" s="86">
        <v>9.4</v>
      </c>
      <c r="G144" s="86">
        <v>9.4</v>
      </c>
      <c r="H144" s="64">
        <v>9.4</v>
      </c>
      <c r="I144" s="80">
        <f>F144/D144*100</f>
        <v>100</v>
      </c>
      <c r="J144" s="80">
        <f>F144/E144*100</f>
        <v>100</v>
      </c>
      <c r="K144" s="80">
        <v>39074.199999999997</v>
      </c>
      <c r="L144" s="80">
        <f>40616.13</f>
        <v>40616.1</v>
      </c>
      <c r="M144" s="80">
        <v>37851.300000000003</v>
      </c>
      <c r="N144" s="80">
        <v>36939.199999999997</v>
      </c>
      <c r="O144" s="80">
        <v>36940.199999999997</v>
      </c>
      <c r="P144" s="80">
        <f>M144/K144*100</f>
        <v>96.9</v>
      </c>
      <c r="Q144" s="80">
        <f>M144/L144*100</f>
        <v>93.2</v>
      </c>
    </row>
    <row r="145" spans="1:17" ht="30" customHeight="1" x14ac:dyDescent="0.25">
      <c r="A145" s="61" t="s">
        <v>122</v>
      </c>
      <c r="B145" s="61" t="s">
        <v>123</v>
      </c>
      <c r="C145" s="17" t="s">
        <v>39</v>
      </c>
      <c r="D145" s="86">
        <v>1712</v>
      </c>
      <c r="E145" s="86">
        <v>1812</v>
      </c>
      <c r="F145" s="86">
        <v>1441</v>
      </c>
      <c r="G145" s="86">
        <v>1166</v>
      </c>
      <c r="H145" s="63">
        <v>1088</v>
      </c>
      <c r="I145" s="62">
        <f t="shared" ref="I145" si="62">F145/D145</f>
        <v>0.84199999999999997</v>
      </c>
      <c r="J145" s="62">
        <f t="shared" ref="J145" si="63">F145/E145</f>
        <v>0.79500000000000004</v>
      </c>
      <c r="K145" s="63">
        <v>15423.3</v>
      </c>
      <c r="L145" s="63">
        <v>17069.3</v>
      </c>
      <c r="M145" s="63">
        <v>16652.400000000001</v>
      </c>
      <c r="N145" s="63">
        <v>13467.5</v>
      </c>
      <c r="O145" s="63">
        <v>12572.8</v>
      </c>
      <c r="P145" s="62">
        <f t="shared" ref="P145" si="64">M145/K145</f>
        <v>1.08</v>
      </c>
      <c r="Q145" s="62">
        <f t="shared" ref="Q145" si="65">M145/L145</f>
        <v>0.97599999999999998</v>
      </c>
    </row>
    <row r="146" spans="1:17" ht="15" x14ac:dyDescent="0.25">
      <c r="A146" s="106" t="s">
        <v>29</v>
      </c>
      <c r="B146" s="106"/>
      <c r="C146" s="106"/>
      <c r="D146" s="7"/>
      <c r="E146" s="7"/>
      <c r="F146" s="7"/>
      <c r="G146" s="7"/>
      <c r="H146" s="7"/>
      <c r="I146" s="62"/>
      <c r="J146" s="62"/>
      <c r="K146" s="7"/>
      <c r="L146" s="7"/>
      <c r="M146" s="7"/>
      <c r="N146" s="7"/>
      <c r="O146" s="7"/>
      <c r="P146" s="62"/>
      <c r="Q146" s="62"/>
    </row>
    <row r="147" spans="1:17" ht="45" x14ac:dyDescent="0.25">
      <c r="A147" s="173" t="s">
        <v>14</v>
      </c>
      <c r="B147" s="174" t="s">
        <v>105</v>
      </c>
      <c r="C147" s="175" t="s">
        <v>73</v>
      </c>
      <c r="D147" s="12">
        <v>535</v>
      </c>
      <c r="E147" s="12">
        <v>637</v>
      </c>
      <c r="F147" s="12">
        <v>787</v>
      </c>
      <c r="G147" s="12">
        <v>787</v>
      </c>
      <c r="H147" s="80">
        <v>787</v>
      </c>
      <c r="I147" s="62">
        <f t="shared" ref="I147:I163" si="66">F147/D147</f>
        <v>1.4710000000000001</v>
      </c>
      <c r="J147" s="62">
        <f t="shared" ref="J147:J163" si="67">F147/E147</f>
        <v>1.2350000000000001</v>
      </c>
      <c r="K147" s="80">
        <v>18328.3</v>
      </c>
      <c r="L147" s="80">
        <v>34454.800000000003</v>
      </c>
      <c r="M147" s="80">
        <v>43024.5</v>
      </c>
      <c r="N147" s="80">
        <v>43024.5</v>
      </c>
      <c r="O147" s="80">
        <v>43024.5</v>
      </c>
      <c r="P147" s="62">
        <f t="shared" ref="P147:P163" si="68">M147/K147</f>
        <v>2.347</v>
      </c>
      <c r="Q147" s="62">
        <f t="shared" ref="Q147:Q163" si="69">M147/L147</f>
        <v>1.2490000000000001</v>
      </c>
    </row>
    <row r="148" spans="1:17" ht="45" x14ac:dyDescent="0.25">
      <c r="A148" s="176" t="s">
        <v>19</v>
      </c>
      <c r="B148" s="174" t="s">
        <v>105</v>
      </c>
      <c r="C148" s="175" t="s">
        <v>73</v>
      </c>
      <c r="D148" s="12">
        <v>286</v>
      </c>
      <c r="E148" s="12">
        <v>286</v>
      </c>
      <c r="F148" s="12">
        <v>421</v>
      </c>
      <c r="G148" s="12">
        <v>421</v>
      </c>
      <c r="H148" s="80">
        <v>421</v>
      </c>
      <c r="I148" s="62">
        <f t="shared" si="66"/>
        <v>1.472</v>
      </c>
      <c r="J148" s="62">
        <f t="shared" si="67"/>
        <v>1.472</v>
      </c>
      <c r="K148" s="80">
        <v>14529.5</v>
      </c>
      <c r="L148" s="80">
        <v>40259.699999999997</v>
      </c>
      <c r="M148" s="80">
        <v>36382.1</v>
      </c>
      <c r="N148" s="80">
        <v>36382.1</v>
      </c>
      <c r="O148" s="80">
        <v>36382.1</v>
      </c>
      <c r="P148" s="62">
        <f t="shared" si="68"/>
        <v>2.504</v>
      </c>
      <c r="Q148" s="62">
        <f t="shared" si="69"/>
        <v>0.90400000000000003</v>
      </c>
    </row>
    <row r="149" spans="1:17" ht="45" x14ac:dyDescent="0.25">
      <c r="A149" s="173" t="s">
        <v>137</v>
      </c>
      <c r="B149" s="174" t="s">
        <v>105</v>
      </c>
      <c r="C149" s="175" t="s">
        <v>73</v>
      </c>
      <c r="D149" s="12">
        <v>106</v>
      </c>
      <c r="E149" s="12">
        <v>106</v>
      </c>
      <c r="F149" s="12">
        <v>106</v>
      </c>
      <c r="G149" s="12">
        <v>106</v>
      </c>
      <c r="H149" s="80">
        <v>106</v>
      </c>
      <c r="I149" s="62">
        <f t="shared" si="66"/>
        <v>1</v>
      </c>
      <c r="J149" s="62">
        <f t="shared" si="67"/>
        <v>1</v>
      </c>
      <c r="K149" s="80">
        <v>1133.3</v>
      </c>
      <c r="L149" s="80">
        <v>2980.1</v>
      </c>
      <c r="M149" s="80">
        <v>1158.9000000000001</v>
      </c>
      <c r="N149" s="80">
        <v>1158.9000000000001</v>
      </c>
      <c r="O149" s="80">
        <v>1158.9000000000001</v>
      </c>
      <c r="P149" s="62">
        <f t="shared" si="68"/>
        <v>1.0229999999999999</v>
      </c>
      <c r="Q149" s="62">
        <f t="shared" si="69"/>
        <v>0.38900000000000001</v>
      </c>
    </row>
    <row r="150" spans="1:17" ht="45" x14ac:dyDescent="0.25">
      <c r="A150" s="173" t="s">
        <v>136</v>
      </c>
      <c r="B150" s="174" t="s">
        <v>105</v>
      </c>
      <c r="C150" s="175" t="s">
        <v>73</v>
      </c>
      <c r="D150" s="12">
        <v>30</v>
      </c>
      <c r="E150" s="12">
        <v>30</v>
      </c>
      <c r="F150" s="12">
        <v>30</v>
      </c>
      <c r="G150" s="12">
        <v>30</v>
      </c>
      <c r="H150" s="80">
        <v>30</v>
      </c>
      <c r="I150" s="62">
        <f t="shared" si="66"/>
        <v>1</v>
      </c>
      <c r="J150" s="62">
        <f t="shared" si="67"/>
        <v>1</v>
      </c>
      <c r="K150" s="80">
        <v>3071.7</v>
      </c>
      <c r="L150" s="80">
        <v>8077.8</v>
      </c>
      <c r="M150" s="80">
        <v>3141.3</v>
      </c>
      <c r="N150" s="80">
        <v>3141.3</v>
      </c>
      <c r="O150" s="80">
        <v>3141.3</v>
      </c>
      <c r="P150" s="62">
        <f t="shared" si="68"/>
        <v>1.0229999999999999</v>
      </c>
      <c r="Q150" s="62">
        <f t="shared" si="69"/>
        <v>0.38900000000000001</v>
      </c>
    </row>
    <row r="151" spans="1:17" ht="45" x14ac:dyDescent="0.25">
      <c r="A151" s="176" t="s">
        <v>128</v>
      </c>
      <c r="B151" s="174" t="s">
        <v>0</v>
      </c>
      <c r="C151" s="175" t="s">
        <v>39</v>
      </c>
      <c r="D151" s="12">
        <v>25</v>
      </c>
      <c r="E151" s="12">
        <v>5</v>
      </c>
      <c r="F151" s="12">
        <v>3</v>
      </c>
      <c r="G151" s="12">
        <v>3</v>
      </c>
      <c r="H151" s="80">
        <v>3</v>
      </c>
      <c r="I151" s="62">
        <f t="shared" si="66"/>
        <v>0.12</v>
      </c>
      <c r="J151" s="62">
        <f t="shared" si="67"/>
        <v>0.6</v>
      </c>
      <c r="K151" s="80">
        <v>1518.5</v>
      </c>
      <c r="L151" s="80">
        <v>1518.5</v>
      </c>
      <c r="M151" s="80">
        <v>493.6</v>
      </c>
      <c r="N151" s="80">
        <v>493.6</v>
      </c>
      <c r="O151" s="80">
        <v>493.6</v>
      </c>
      <c r="P151" s="62">
        <f t="shared" si="68"/>
        <v>0.32500000000000001</v>
      </c>
      <c r="Q151" s="62">
        <f t="shared" si="69"/>
        <v>0.32500000000000001</v>
      </c>
    </row>
    <row r="152" spans="1:17" ht="45" x14ac:dyDescent="0.25">
      <c r="A152" s="176" t="s">
        <v>131</v>
      </c>
      <c r="B152" s="174" t="s">
        <v>0</v>
      </c>
      <c r="C152" s="175" t="s">
        <v>39</v>
      </c>
      <c r="D152" s="12">
        <v>66</v>
      </c>
      <c r="E152" s="12">
        <v>24</v>
      </c>
      <c r="F152" s="12">
        <v>0</v>
      </c>
      <c r="G152" s="12">
        <v>0</v>
      </c>
      <c r="H152" s="81">
        <v>0</v>
      </c>
      <c r="I152" s="62">
        <f t="shared" si="66"/>
        <v>0</v>
      </c>
      <c r="J152" s="62">
        <f t="shared" si="67"/>
        <v>0</v>
      </c>
      <c r="K152" s="81">
        <v>681.5</v>
      </c>
      <c r="L152" s="81">
        <v>681.5</v>
      </c>
      <c r="M152" s="81">
        <v>0</v>
      </c>
      <c r="N152" s="81">
        <v>0</v>
      </c>
      <c r="O152" s="81">
        <v>0</v>
      </c>
      <c r="P152" s="62">
        <f t="shared" si="68"/>
        <v>0</v>
      </c>
      <c r="Q152" s="62">
        <f t="shared" si="69"/>
        <v>0</v>
      </c>
    </row>
    <row r="153" spans="1:17" ht="30" x14ac:dyDescent="0.25">
      <c r="A153" s="176" t="s">
        <v>130</v>
      </c>
      <c r="B153" s="174" t="s">
        <v>0</v>
      </c>
      <c r="C153" s="175" t="s">
        <v>39</v>
      </c>
      <c r="D153" s="12">
        <v>81</v>
      </c>
      <c r="E153" s="12">
        <v>64</v>
      </c>
      <c r="F153" s="12">
        <v>0</v>
      </c>
      <c r="G153" s="12">
        <v>0</v>
      </c>
      <c r="H153" s="81">
        <v>0</v>
      </c>
      <c r="I153" s="62">
        <f t="shared" si="66"/>
        <v>0</v>
      </c>
      <c r="J153" s="62">
        <f t="shared" si="67"/>
        <v>0</v>
      </c>
      <c r="K153" s="81">
        <v>2786.5</v>
      </c>
      <c r="L153" s="81">
        <v>2786.5</v>
      </c>
      <c r="M153" s="81">
        <v>0</v>
      </c>
      <c r="N153" s="81">
        <v>0</v>
      </c>
      <c r="O153" s="81">
        <v>0</v>
      </c>
      <c r="P153" s="62">
        <f t="shared" si="68"/>
        <v>0</v>
      </c>
      <c r="Q153" s="62">
        <f t="shared" si="69"/>
        <v>0</v>
      </c>
    </row>
    <row r="154" spans="1:17" ht="30" x14ac:dyDescent="0.25">
      <c r="A154" s="176" t="s">
        <v>129</v>
      </c>
      <c r="B154" s="174" t="s">
        <v>0</v>
      </c>
      <c r="C154" s="175" t="s">
        <v>39</v>
      </c>
      <c r="D154" s="12">
        <v>46</v>
      </c>
      <c r="E154" s="12">
        <v>0</v>
      </c>
      <c r="F154" s="12">
        <v>0</v>
      </c>
      <c r="G154" s="12">
        <v>0</v>
      </c>
      <c r="H154" s="81">
        <v>0</v>
      </c>
      <c r="I154" s="62">
        <f t="shared" si="66"/>
        <v>0</v>
      </c>
      <c r="J154" s="62" t="e">
        <f t="shared" si="67"/>
        <v>#DIV/0!</v>
      </c>
      <c r="K154" s="81">
        <v>3670.5</v>
      </c>
      <c r="L154" s="81">
        <v>3670.5</v>
      </c>
      <c r="M154" s="81">
        <v>0</v>
      </c>
      <c r="N154" s="81">
        <v>0</v>
      </c>
      <c r="O154" s="81">
        <v>0</v>
      </c>
      <c r="P154" s="62">
        <f t="shared" si="68"/>
        <v>0</v>
      </c>
      <c r="Q154" s="62">
        <f t="shared" si="69"/>
        <v>0</v>
      </c>
    </row>
    <row r="155" spans="1:17" ht="30" x14ac:dyDescent="0.25">
      <c r="A155" s="176" t="s">
        <v>299</v>
      </c>
      <c r="B155" s="174" t="s">
        <v>0</v>
      </c>
      <c r="C155" s="175" t="s">
        <v>39</v>
      </c>
      <c r="D155" s="12">
        <v>15</v>
      </c>
      <c r="E155" s="12">
        <v>64</v>
      </c>
      <c r="F155" s="12">
        <v>88</v>
      </c>
      <c r="G155" s="12">
        <v>88</v>
      </c>
      <c r="H155" s="81">
        <v>88</v>
      </c>
      <c r="I155" s="62">
        <f t="shared" si="66"/>
        <v>5.867</v>
      </c>
      <c r="J155" s="62">
        <f t="shared" si="67"/>
        <v>1.375</v>
      </c>
      <c r="K155" s="81">
        <v>60.6</v>
      </c>
      <c r="L155" s="81">
        <v>60.6</v>
      </c>
      <c r="M155" s="81">
        <v>7712.4</v>
      </c>
      <c r="N155" s="81">
        <v>7712.4</v>
      </c>
      <c r="O155" s="81">
        <v>7712.4</v>
      </c>
      <c r="P155" s="62">
        <f t="shared" si="68"/>
        <v>127.267</v>
      </c>
      <c r="Q155" s="62">
        <f t="shared" si="69"/>
        <v>127.267</v>
      </c>
    </row>
    <row r="156" spans="1:17" ht="30" x14ac:dyDescent="0.25">
      <c r="A156" s="176" t="s">
        <v>135</v>
      </c>
      <c r="B156" s="174" t="s">
        <v>0</v>
      </c>
      <c r="C156" s="175" t="s">
        <v>39</v>
      </c>
      <c r="D156" s="12">
        <v>26</v>
      </c>
      <c r="E156" s="12">
        <v>26</v>
      </c>
      <c r="F156" s="12">
        <v>26</v>
      </c>
      <c r="G156" s="12">
        <v>26</v>
      </c>
      <c r="H156" s="81">
        <v>26</v>
      </c>
      <c r="I156" s="62">
        <f t="shared" si="66"/>
        <v>1</v>
      </c>
      <c r="J156" s="62">
        <f t="shared" si="67"/>
        <v>1</v>
      </c>
      <c r="K156" s="81">
        <v>300</v>
      </c>
      <c r="L156" s="81">
        <v>300</v>
      </c>
      <c r="M156" s="81">
        <v>300</v>
      </c>
      <c r="N156" s="81">
        <v>300</v>
      </c>
      <c r="O156" s="81">
        <v>300</v>
      </c>
      <c r="P156" s="62">
        <f t="shared" si="68"/>
        <v>1</v>
      </c>
      <c r="Q156" s="62">
        <f t="shared" si="69"/>
        <v>1</v>
      </c>
    </row>
    <row r="157" spans="1:17" ht="90" x14ac:dyDescent="0.25">
      <c r="A157" s="176" t="s">
        <v>133</v>
      </c>
      <c r="B157" s="174" t="s">
        <v>0</v>
      </c>
      <c r="C157" s="175" t="s">
        <v>39</v>
      </c>
      <c r="D157" s="12">
        <v>13</v>
      </c>
      <c r="E157" s="12">
        <v>13</v>
      </c>
      <c r="F157" s="12">
        <v>13</v>
      </c>
      <c r="G157" s="12">
        <v>13</v>
      </c>
      <c r="H157" s="81">
        <v>13</v>
      </c>
      <c r="I157" s="62">
        <f t="shared" si="66"/>
        <v>1</v>
      </c>
      <c r="J157" s="62">
        <f t="shared" si="67"/>
        <v>1</v>
      </c>
      <c r="K157" s="81">
        <v>400</v>
      </c>
      <c r="L157" s="81">
        <v>400</v>
      </c>
      <c r="M157" s="81">
        <v>400</v>
      </c>
      <c r="N157" s="81">
        <v>400</v>
      </c>
      <c r="O157" s="81">
        <v>400</v>
      </c>
      <c r="P157" s="62">
        <f t="shared" si="68"/>
        <v>1</v>
      </c>
      <c r="Q157" s="62">
        <f t="shared" si="69"/>
        <v>1</v>
      </c>
    </row>
    <row r="158" spans="1:17" ht="45" x14ac:dyDescent="0.25">
      <c r="A158" s="176" t="s">
        <v>134</v>
      </c>
      <c r="B158" s="174" t="s">
        <v>0</v>
      </c>
      <c r="C158" s="175" t="s">
        <v>39</v>
      </c>
      <c r="D158" s="12">
        <v>0</v>
      </c>
      <c r="E158" s="12">
        <v>94</v>
      </c>
      <c r="F158" s="12">
        <v>0</v>
      </c>
      <c r="G158" s="12">
        <v>0</v>
      </c>
      <c r="H158" s="81">
        <v>0</v>
      </c>
      <c r="I158" s="62"/>
      <c r="J158" s="62"/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62"/>
      <c r="Q158" s="62"/>
    </row>
    <row r="159" spans="1:17" ht="45" x14ac:dyDescent="0.25">
      <c r="A159" s="176" t="s">
        <v>132</v>
      </c>
      <c r="B159" s="173" t="s">
        <v>107</v>
      </c>
      <c r="C159" s="177" t="s">
        <v>73</v>
      </c>
      <c r="D159" s="12">
        <v>23267</v>
      </c>
      <c r="E159" s="12">
        <v>7402</v>
      </c>
      <c r="F159" s="12">
        <v>22267</v>
      </c>
      <c r="G159" s="12">
        <v>22267</v>
      </c>
      <c r="H159" s="81">
        <v>22267</v>
      </c>
      <c r="I159" s="62">
        <f t="shared" si="66"/>
        <v>0.95699999999999996</v>
      </c>
      <c r="J159" s="62">
        <f t="shared" si="67"/>
        <v>3.008</v>
      </c>
      <c r="K159" s="81">
        <v>5700</v>
      </c>
      <c r="L159" s="81">
        <v>9500</v>
      </c>
      <c r="M159" s="81">
        <v>5876.3</v>
      </c>
      <c r="N159" s="81">
        <v>5876.3</v>
      </c>
      <c r="O159" s="81">
        <v>5876.3</v>
      </c>
      <c r="P159" s="62">
        <f t="shared" si="68"/>
        <v>1.0309999999999999</v>
      </c>
      <c r="Q159" s="62">
        <f t="shared" si="69"/>
        <v>0.61899999999999999</v>
      </c>
    </row>
    <row r="160" spans="1:17" ht="30" x14ac:dyDescent="0.25">
      <c r="A160" s="178" t="s">
        <v>106</v>
      </c>
      <c r="B160" s="178" t="s">
        <v>318</v>
      </c>
      <c r="C160" s="178" t="s">
        <v>179</v>
      </c>
      <c r="D160" s="12">
        <f>22218+182886</f>
        <v>205104</v>
      </c>
      <c r="E160" s="12">
        <f>16296+68796</f>
        <v>85092</v>
      </c>
      <c r="F160" s="12">
        <f t="shared" ref="F160" si="70">E160</f>
        <v>85092</v>
      </c>
      <c r="G160" s="12">
        <f t="shared" ref="G160" si="71">F160</f>
        <v>85092</v>
      </c>
      <c r="H160" s="80">
        <f t="shared" ref="H160" si="72">G160</f>
        <v>85092</v>
      </c>
      <c r="I160" s="62">
        <f t="shared" si="66"/>
        <v>0.41499999999999998</v>
      </c>
      <c r="J160" s="62">
        <f t="shared" si="67"/>
        <v>1</v>
      </c>
      <c r="K160" s="71">
        <f>4756429.4+11119400</f>
        <v>15875829.4</v>
      </c>
      <c r="L160" s="71">
        <f>5281044.7+4574900</f>
        <v>9855944.6999999993</v>
      </c>
      <c r="M160" s="71">
        <f>5327924.7+4574900</f>
        <v>9902824.6999999993</v>
      </c>
      <c r="N160" s="71">
        <f t="shared" ref="N160" si="73">M160</f>
        <v>9902824.6999999993</v>
      </c>
      <c r="O160" s="71">
        <f t="shared" ref="O160" si="74">N160</f>
        <v>9902824.6999999993</v>
      </c>
      <c r="P160" s="62">
        <f t="shared" si="68"/>
        <v>0.624</v>
      </c>
      <c r="Q160" s="62">
        <f t="shared" si="69"/>
        <v>1.0049999999999999</v>
      </c>
    </row>
    <row r="161" spans="1:17" ht="45" x14ac:dyDescent="0.25">
      <c r="A161" s="178" t="s">
        <v>14</v>
      </c>
      <c r="B161" s="178" t="s">
        <v>360</v>
      </c>
      <c r="C161" s="179" t="s">
        <v>175</v>
      </c>
      <c r="D161" s="12">
        <v>51</v>
      </c>
      <c r="E161" s="12">
        <v>145</v>
      </c>
      <c r="F161" s="12">
        <v>145</v>
      </c>
      <c r="G161" s="12">
        <v>145</v>
      </c>
      <c r="H161" s="80">
        <v>145</v>
      </c>
      <c r="I161" s="62">
        <f t="shared" si="66"/>
        <v>2.843</v>
      </c>
      <c r="J161" s="62">
        <f t="shared" si="67"/>
        <v>1</v>
      </c>
      <c r="K161" s="71">
        <v>4978422</v>
      </c>
      <c r="L161" s="71">
        <v>10817900</v>
      </c>
      <c r="M161" s="71">
        <v>11005900</v>
      </c>
      <c r="N161" s="71">
        <v>11005900</v>
      </c>
      <c r="O161" s="71">
        <v>11005900</v>
      </c>
      <c r="P161" s="62">
        <f t="shared" si="68"/>
        <v>2.2109999999999999</v>
      </c>
      <c r="Q161" s="62">
        <f t="shared" si="69"/>
        <v>1.0169999999999999</v>
      </c>
    </row>
    <row r="162" spans="1:17" ht="45" x14ac:dyDescent="0.25">
      <c r="A162" s="178" t="s">
        <v>19</v>
      </c>
      <c r="B162" s="178" t="s">
        <v>360</v>
      </c>
      <c r="C162" s="179" t="s">
        <v>175</v>
      </c>
      <c r="D162" s="12">
        <v>0</v>
      </c>
      <c r="E162" s="12">
        <v>14</v>
      </c>
      <c r="F162" s="12">
        <v>14</v>
      </c>
      <c r="G162" s="12">
        <v>14</v>
      </c>
      <c r="H162" s="80">
        <v>14</v>
      </c>
      <c r="I162" s="62"/>
      <c r="J162" s="62">
        <f t="shared" si="67"/>
        <v>1</v>
      </c>
      <c r="K162" s="71">
        <v>0</v>
      </c>
      <c r="L162" s="71">
        <v>1480800</v>
      </c>
      <c r="M162" s="71">
        <v>1496300</v>
      </c>
      <c r="N162" s="71">
        <v>1496300</v>
      </c>
      <c r="O162" s="71">
        <v>1496300</v>
      </c>
      <c r="P162" s="62"/>
      <c r="Q162" s="62">
        <f t="shared" si="69"/>
        <v>1.01</v>
      </c>
    </row>
    <row r="163" spans="1:17" ht="75" x14ac:dyDescent="0.25">
      <c r="A163" s="178" t="s">
        <v>94</v>
      </c>
      <c r="B163" s="178" t="s">
        <v>95</v>
      </c>
      <c r="C163" s="179" t="s">
        <v>175</v>
      </c>
      <c r="D163" s="12">
        <v>250</v>
      </c>
      <c r="E163" s="12">
        <v>100</v>
      </c>
      <c r="F163" s="12">
        <v>100</v>
      </c>
      <c r="G163" s="12">
        <v>100</v>
      </c>
      <c r="H163" s="80">
        <v>100</v>
      </c>
      <c r="I163" s="62">
        <f t="shared" si="66"/>
        <v>0.4</v>
      </c>
      <c r="J163" s="62">
        <f t="shared" si="67"/>
        <v>1</v>
      </c>
      <c r="K163" s="71">
        <v>238200</v>
      </c>
      <c r="L163" s="71">
        <v>99250</v>
      </c>
      <c r="M163" s="71">
        <v>99250</v>
      </c>
      <c r="N163" s="82">
        <v>99250</v>
      </c>
      <c r="O163" s="82">
        <v>99250</v>
      </c>
      <c r="P163" s="62">
        <f t="shared" si="68"/>
        <v>0.41699999999999998</v>
      </c>
      <c r="Q163" s="62">
        <f t="shared" si="69"/>
        <v>1</v>
      </c>
    </row>
    <row r="164" spans="1:17" ht="15" x14ac:dyDescent="0.25">
      <c r="A164" s="68" t="s">
        <v>27</v>
      </c>
      <c r="B164" s="18"/>
      <c r="C164" s="18"/>
      <c r="D164" s="7"/>
      <c r="E164" s="7"/>
      <c r="F164" s="7"/>
      <c r="G164" s="7"/>
      <c r="H164" s="7"/>
      <c r="I164" s="62"/>
      <c r="J164" s="62"/>
      <c r="K164" s="7"/>
      <c r="L164" s="7"/>
      <c r="M164" s="7"/>
      <c r="N164" s="7"/>
      <c r="O164" s="7"/>
      <c r="P164" s="62"/>
      <c r="Q164" s="62"/>
    </row>
    <row r="165" spans="1:17" ht="45" x14ac:dyDescent="0.25">
      <c r="A165" s="180" t="s">
        <v>225</v>
      </c>
      <c r="B165" s="176" t="s">
        <v>165</v>
      </c>
      <c r="C165" s="181" t="s">
        <v>166</v>
      </c>
      <c r="D165" s="15">
        <f>142585-23639-2162-526</f>
        <v>116258</v>
      </c>
      <c r="E165" s="15">
        <v>97443</v>
      </c>
      <c r="F165" s="15">
        <v>144818</v>
      </c>
      <c r="G165" s="15">
        <v>144818</v>
      </c>
      <c r="H165" s="88">
        <v>144818</v>
      </c>
      <c r="I165" s="62">
        <f t="shared" ref="I165:I179" si="75">F165/D165</f>
        <v>1.246</v>
      </c>
      <c r="J165" s="62">
        <f t="shared" ref="J165:J183" si="76">F165/E165</f>
        <v>1.486</v>
      </c>
      <c r="K165" s="64">
        <v>32874.5</v>
      </c>
      <c r="L165" s="64">
        <v>20690.3</v>
      </c>
      <c r="M165" s="64">
        <v>20690.3</v>
      </c>
      <c r="N165" s="64">
        <v>20690.3</v>
      </c>
      <c r="O165" s="64">
        <v>20690.3</v>
      </c>
      <c r="P165" s="62">
        <f t="shared" ref="P165:P179" si="77">M165/K165</f>
        <v>0.629</v>
      </c>
      <c r="Q165" s="62">
        <f t="shared" ref="Q165:Q179" si="78">M165/L165</f>
        <v>1</v>
      </c>
    </row>
    <row r="166" spans="1:17" ht="45" x14ac:dyDescent="0.25">
      <c r="A166" s="180" t="s">
        <v>225</v>
      </c>
      <c r="B166" s="176" t="s">
        <v>167</v>
      </c>
      <c r="C166" s="181" t="s">
        <v>166</v>
      </c>
      <c r="D166" s="15">
        <v>28775</v>
      </c>
      <c r="E166" s="15">
        <v>13842</v>
      </c>
      <c r="F166" s="15">
        <v>28567</v>
      </c>
      <c r="G166" s="15">
        <v>28567</v>
      </c>
      <c r="H166" s="88">
        <v>28567</v>
      </c>
      <c r="I166" s="62">
        <f t="shared" si="75"/>
        <v>0.99299999999999999</v>
      </c>
      <c r="J166" s="62">
        <f t="shared" si="76"/>
        <v>2.0640000000000001</v>
      </c>
      <c r="K166" s="64">
        <v>15500</v>
      </c>
      <c r="L166" s="64">
        <v>10300</v>
      </c>
      <c r="M166" s="64">
        <v>10300</v>
      </c>
      <c r="N166" s="64">
        <v>10300</v>
      </c>
      <c r="O166" s="64">
        <v>10300</v>
      </c>
      <c r="P166" s="62">
        <f t="shared" si="77"/>
        <v>0.66500000000000004</v>
      </c>
      <c r="Q166" s="62">
        <f t="shared" si="78"/>
        <v>1</v>
      </c>
    </row>
    <row r="167" spans="1:17" ht="75" x14ac:dyDescent="0.25">
      <c r="A167" s="180" t="s">
        <v>168</v>
      </c>
      <c r="B167" s="182" t="s">
        <v>169</v>
      </c>
      <c r="C167" s="181" t="s">
        <v>166</v>
      </c>
      <c r="D167" s="15">
        <v>2085</v>
      </c>
      <c r="E167" s="15">
        <v>226</v>
      </c>
      <c r="F167" s="15">
        <v>226</v>
      </c>
      <c r="G167" s="15">
        <v>226</v>
      </c>
      <c r="H167" s="88">
        <v>226</v>
      </c>
      <c r="I167" s="62">
        <f t="shared" si="75"/>
        <v>0.108</v>
      </c>
      <c r="J167" s="62">
        <f t="shared" si="76"/>
        <v>1</v>
      </c>
      <c r="K167" s="66">
        <f>59158.8+106271.3+7349.4-36167.31</f>
        <v>136612.20000000001</v>
      </c>
      <c r="L167" s="66">
        <v>7349.4</v>
      </c>
      <c r="M167" s="66">
        <v>7349.4</v>
      </c>
      <c r="N167" s="66">
        <v>7349.4</v>
      </c>
      <c r="O167" s="66">
        <v>7349.4</v>
      </c>
      <c r="P167" s="62">
        <f t="shared" si="77"/>
        <v>5.3999999999999999E-2</v>
      </c>
      <c r="Q167" s="62">
        <f t="shared" si="78"/>
        <v>1</v>
      </c>
    </row>
    <row r="168" spans="1:17" ht="30" x14ac:dyDescent="0.25">
      <c r="A168" s="180" t="s">
        <v>170</v>
      </c>
      <c r="B168" s="182" t="s">
        <v>171</v>
      </c>
      <c r="C168" s="181" t="s">
        <v>172</v>
      </c>
      <c r="D168" s="15">
        <v>15425</v>
      </c>
      <c r="E168" s="15">
        <v>0</v>
      </c>
      <c r="F168" s="15">
        <v>0</v>
      </c>
      <c r="G168" s="15">
        <v>0</v>
      </c>
      <c r="H168" s="88">
        <v>0</v>
      </c>
      <c r="I168" s="62"/>
      <c r="J168" s="62"/>
      <c r="K168" s="66">
        <v>36167.300000000003</v>
      </c>
      <c r="L168" s="66">
        <v>0</v>
      </c>
      <c r="M168" s="66">
        <v>0</v>
      </c>
      <c r="N168" s="66">
        <v>0</v>
      </c>
      <c r="O168" s="66">
        <v>0</v>
      </c>
      <c r="P168" s="62"/>
      <c r="Q168" s="62"/>
    </row>
    <row r="169" spans="1:17" ht="75" x14ac:dyDescent="0.25">
      <c r="A169" s="180" t="s">
        <v>173</v>
      </c>
      <c r="B169" s="182" t="s">
        <v>174</v>
      </c>
      <c r="C169" s="181" t="s">
        <v>175</v>
      </c>
      <c r="D169" s="15">
        <v>573</v>
      </c>
      <c r="E169" s="15">
        <v>79</v>
      </c>
      <c r="F169" s="15">
        <v>79</v>
      </c>
      <c r="G169" s="15">
        <v>79</v>
      </c>
      <c r="H169" s="88">
        <v>79</v>
      </c>
      <c r="I169" s="62">
        <f t="shared" si="75"/>
        <v>0.13800000000000001</v>
      </c>
      <c r="J169" s="62">
        <f t="shared" si="76"/>
        <v>1</v>
      </c>
      <c r="K169" s="66">
        <f>5584.8+1355+514.3</f>
        <v>7454.1</v>
      </c>
      <c r="L169" s="66">
        <v>514.29999999999995</v>
      </c>
      <c r="M169" s="66">
        <v>514.29999999999995</v>
      </c>
      <c r="N169" s="66">
        <v>514.29999999999995</v>
      </c>
      <c r="O169" s="66">
        <v>514.29999999999995</v>
      </c>
      <c r="P169" s="62">
        <f t="shared" si="77"/>
        <v>6.9000000000000006E-2</v>
      </c>
      <c r="Q169" s="62">
        <f t="shared" si="78"/>
        <v>1</v>
      </c>
    </row>
    <row r="170" spans="1:17" ht="30" x14ac:dyDescent="0.25">
      <c r="A170" s="180" t="s">
        <v>226</v>
      </c>
      <c r="B170" s="176" t="s">
        <v>176</v>
      </c>
      <c r="C170" s="181" t="s">
        <v>166</v>
      </c>
      <c r="D170" s="183">
        <v>6150</v>
      </c>
      <c r="E170" s="15">
        <v>0</v>
      </c>
      <c r="F170" s="15">
        <v>0</v>
      </c>
      <c r="G170" s="15">
        <v>0</v>
      </c>
      <c r="H170" s="88">
        <v>0</v>
      </c>
      <c r="I170" s="62"/>
      <c r="J170" s="62"/>
      <c r="K170" s="89">
        <v>33305.699999999997</v>
      </c>
      <c r="L170" s="66">
        <v>0</v>
      </c>
      <c r="M170" s="66">
        <v>0</v>
      </c>
      <c r="N170" s="66">
        <v>0</v>
      </c>
      <c r="O170" s="66">
        <v>0</v>
      </c>
      <c r="P170" s="62"/>
      <c r="Q170" s="62"/>
    </row>
    <row r="171" spans="1:17" ht="15" x14ac:dyDescent="0.25">
      <c r="A171" s="180" t="s">
        <v>116</v>
      </c>
      <c r="B171" s="176" t="s">
        <v>177</v>
      </c>
      <c r="C171" s="181" t="s">
        <v>175</v>
      </c>
      <c r="D171" s="15">
        <v>23639</v>
      </c>
      <c r="E171" s="15">
        <v>0</v>
      </c>
      <c r="F171" s="15">
        <v>0</v>
      </c>
      <c r="G171" s="15">
        <v>0</v>
      </c>
      <c r="H171" s="88">
        <v>0</v>
      </c>
      <c r="I171" s="62"/>
      <c r="J171" s="62"/>
      <c r="K171" s="66">
        <v>8622.2000000000007</v>
      </c>
      <c r="L171" s="66">
        <v>0</v>
      </c>
      <c r="M171" s="66">
        <v>0</v>
      </c>
      <c r="N171" s="66">
        <v>0</v>
      </c>
      <c r="O171" s="66">
        <v>0</v>
      </c>
      <c r="P171" s="62"/>
      <c r="Q171" s="62"/>
    </row>
    <row r="172" spans="1:17" ht="30" x14ac:dyDescent="0.25">
      <c r="A172" s="180" t="s">
        <v>6</v>
      </c>
      <c r="B172" s="176" t="s">
        <v>178</v>
      </c>
      <c r="C172" s="181" t="s">
        <v>172</v>
      </c>
      <c r="D172" s="15">
        <v>10103</v>
      </c>
      <c r="E172" s="15">
        <v>0</v>
      </c>
      <c r="F172" s="15">
        <v>0</v>
      </c>
      <c r="G172" s="15">
        <v>0</v>
      </c>
      <c r="H172" s="88">
        <v>0</v>
      </c>
      <c r="I172" s="62"/>
      <c r="J172" s="62"/>
      <c r="K172" s="66">
        <v>53780.9</v>
      </c>
      <c r="L172" s="66">
        <v>0</v>
      </c>
      <c r="M172" s="66">
        <v>0</v>
      </c>
      <c r="N172" s="66">
        <v>0</v>
      </c>
      <c r="O172" s="66">
        <v>0</v>
      </c>
      <c r="P172" s="62"/>
      <c r="Q172" s="62"/>
    </row>
    <row r="173" spans="1:17" ht="45" x14ac:dyDescent="0.25">
      <c r="A173" s="180" t="s">
        <v>227</v>
      </c>
      <c r="B173" s="176" t="s">
        <v>361</v>
      </c>
      <c r="C173" s="181" t="s">
        <v>180</v>
      </c>
      <c r="D173" s="15">
        <v>350</v>
      </c>
      <c r="E173" s="15">
        <v>0</v>
      </c>
      <c r="F173" s="15">
        <v>0</v>
      </c>
      <c r="G173" s="15">
        <v>0</v>
      </c>
      <c r="H173" s="88">
        <v>0</v>
      </c>
      <c r="I173" s="62">
        <f t="shared" si="75"/>
        <v>0</v>
      </c>
      <c r="J173" s="62"/>
      <c r="K173" s="66">
        <v>14978.7</v>
      </c>
      <c r="L173" s="66">
        <v>0</v>
      </c>
      <c r="M173" s="66">
        <v>0</v>
      </c>
      <c r="N173" s="66">
        <v>0</v>
      </c>
      <c r="O173" s="66">
        <v>0</v>
      </c>
      <c r="P173" s="62">
        <f t="shared" si="77"/>
        <v>0</v>
      </c>
      <c r="Q173" s="62"/>
    </row>
    <row r="174" spans="1:17" ht="45" x14ac:dyDescent="0.25">
      <c r="A174" s="180" t="s">
        <v>181</v>
      </c>
      <c r="B174" s="176" t="s">
        <v>182</v>
      </c>
      <c r="C174" s="181" t="s">
        <v>166</v>
      </c>
      <c r="D174" s="15">
        <v>2162</v>
      </c>
      <c r="E174" s="15">
        <v>2000</v>
      </c>
      <c r="F174" s="15">
        <v>2000</v>
      </c>
      <c r="G174" s="15">
        <v>2000</v>
      </c>
      <c r="H174" s="88">
        <v>2000</v>
      </c>
      <c r="I174" s="62">
        <f t="shared" si="75"/>
        <v>0.92500000000000004</v>
      </c>
      <c r="J174" s="62">
        <f t="shared" si="76"/>
        <v>1</v>
      </c>
      <c r="K174" s="66">
        <v>4866.3</v>
      </c>
      <c r="L174" s="66">
        <v>4812.6000000000004</v>
      </c>
      <c r="M174" s="64">
        <v>4100.5</v>
      </c>
      <c r="N174" s="64">
        <v>4100.5</v>
      </c>
      <c r="O174" s="64">
        <v>4100.5</v>
      </c>
      <c r="P174" s="62">
        <f t="shared" si="77"/>
        <v>0.84299999999999997</v>
      </c>
      <c r="Q174" s="62">
        <f t="shared" si="78"/>
        <v>0.85199999999999998</v>
      </c>
    </row>
    <row r="175" spans="1:17" ht="30" x14ac:dyDescent="0.25">
      <c r="A175" s="180" t="s">
        <v>7</v>
      </c>
      <c r="B175" s="176" t="s">
        <v>183</v>
      </c>
      <c r="C175" s="181" t="s">
        <v>166</v>
      </c>
      <c r="D175" s="15">
        <v>526</v>
      </c>
      <c r="E175" s="15">
        <v>1489</v>
      </c>
      <c r="F175" s="15">
        <v>1489</v>
      </c>
      <c r="G175" s="15">
        <v>1489</v>
      </c>
      <c r="H175" s="88">
        <v>1489</v>
      </c>
      <c r="I175" s="62">
        <f t="shared" si="75"/>
        <v>2.831</v>
      </c>
      <c r="J175" s="62">
        <f t="shared" si="76"/>
        <v>1</v>
      </c>
      <c r="K175" s="66">
        <v>431.3</v>
      </c>
      <c r="L175" s="66">
        <v>1600</v>
      </c>
      <c r="M175" s="64">
        <v>1600</v>
      </c>
      <c r="N175" s="64">
        <v>1600</v>
      </c>
      <c r="O175" s="64">
        <v>1600</v>
      </c>
      <c r="P175" s="62">
        <f t="shared" si="77"/>
        <v>3.71</v>
      </c>
      <c r="Q175" s="62">
        <f t="shared" si="78"/>
        <v>1</v>
      </c>
    </row>
    <row r="176" spans="1:17" ht="30" x14ac:dyDescent="0.25">
      <c r="A176" s="180" t="s">
        <v>7</v>
      </c>
      <c r="B176" s="176" t="s">
        <v>178</v>
      </c>
      <c r="C176" s="181" t="s">
        <v>172</v>
      </c>
      <c r="D176" s="15">
        <v>1075</v>
      </c>
      <c r="E176" s="15">
        <v>4759</v>
      </c>
      <c r="F176" s="15">
        <v>4759</v>
      </c>
      <c r="G176" s="15">
        <v>4759</v>
      </c>
      <c r="H176" s="88">
        <v>4759</v>
      </c>
      <c r="I176" s="62">
        <f t="shared" si="75"/>
        <v>4.4269999999999996</v>
      </c>
      <c r="J176" s="62">
        <f t="shared" si="76"/>
        <v>1</v>
      </c>
      <c r="K176" s="66">
        <v>4526.8</v>
      </c>
      <c r="L176" s="66">
        <v>13884.1</v>
      </c>
      <c r="M176" s="64">
        <v>2200</v>
      </c>
      <c r="N176" s="64">
        <v>2200</v>
      </c>
      <c r="O176" s="64">
        <v>2200</v>
      </c>
      <c r="P176" s="62">
        <f t="shared" si="77"/>
        <v>0.48599999999999999</v>
      </c>
      <c r="Q176" s="62">
        <f t="shared" si="78"/>
        <v>0.158</v>
      </c>
    </row>
    <row r="177" spans="1:17" ht="45" x14ac:dyDescent="0.25">
      <c r="A177" s="180" t="s">
        <v>184</v>
      </c>
      <c r="B177" s="176" t="s">
        <v>117</v>
      </c>
      <c r="C177" s="181" t="s">
        <v>166</v>
      </c>
      <c r="D177" s="15">
        <v>2217</v>
      </c>
      <c r="E177" s="15">
        <v>0</v>
      </c>
      <c r="F177" s="15">
        <v>0</v>
      </c>
      <c r="G177" s="15">
        <v>0</v>
      </c>
      <c r="H177" s="88">
        <v>0</v>
      </c>
      <c r="I177" s="62"/>
      <c r="J177" s="62"/>
      <c r="K177" s="66">
        <v>27182.400000000001</v>
      </c>
      <c r="L177" s="66">
        <v>0</v>
      </c>
      <c r="M177" s="66">
        <v>0</v>
      </c>
      <c r="N177" s="66">
        <v>0</v>
      </c>
      <c r="O177" s="66">
        <v>0</v>
      </c>
      <c r="P177" s="62"/>
      <c r="Q177" s="62"/>
    </row>
    <row r="178" spans="1:17" ht="30" x14ac:dyDescent="0.25">
      <c r="A178" s="180" t="s">
        <v>228</v>
      </c>
      <c r="B178" s="176" t="s">
        <v>185</v>
      </c>
      <c r="C178" s="181" t="s">
        <v>166</v>
      </c>
      <c r="D178" s="15">
        <v>72214</v>
      </c>
      <c r="E178" s="15">
        <v>72214</v>
      </c>
      <c r="F178" s="15">
        <v>72214</v>
      </c>
      <c r="G178" s="15">
        <v>72214</v>
      </c>
      <c r="H178" s="88">
        <v>72214</v>
      </c>
      <c r="I178" s="62">
        <f t="shared" si="75"/>
        <v>1</v>
      </c>
      <c r="J178" s="62">
        <f t="shared" si="76"/>
        <v>1</v>
      </c>
      <c r="K178" s="66">
        <v>18571</v>
      </c>
      <c r="L178" s="66">
        <v>18594</v>
      </c>
      <c r="M178" s="66">
        <v>18594</v>
      </c>
      <c r="N178" s="66">
        <v>18594</v>
      </c>
      <c r="O178" s="66">
        <v>18594</v>
      </c>
      <c r="P178" s="62">
        <f t="shared" si="77"/>
        <v>1.0009999999999999</v>
      </c>
      <c r="Q178" s="62">
        <f t="shared" si="78"/>
        <v>1</v>
      </c>
    </row>
    <row r="179" spans="1:17" ht="90" x14ac:dyDescent="0.25">
      <c r="A179" s="180" t="s">
        <v>10</v>
      </c>
      <c r="B179" s="176" t="s">
        <v>186</v>
      </c>
      <c r="C179" s="181" t="s">
        <v>187</v>
      </c>
      <c r="D179" s="15">
        <v>5187</v>
      </c>
      <c r="E179" s="15">
        <v>4210</v>
      </c>
      <c r="F179" s="15">
        <v>4210</v>
      </c>
      <c r="G179" s="15">
        <v>4210</v>
      </c>
      <c r="H179" s="88">
        <v>4210</v>
      </c>
      <c r="I179" s="62">
        <f t="shared" si="75"/>
        <v>0.81200000000000006</v>
      </c>
      <c r="J179" s="62">
        <f t="shared" si="76"/>
        <v>1</v>
      </c>
      <c r="K179" s="66">
        <v>8404</v>
      </c>
      <c r="L179" s="66">
        <v>8449.7000000000007</v>
      </c>
      <c r="M179" s="64">
        <v>8404</v>
      </c>
      <c r="N179" s="64">
        <v>8404</v>
      </c>
      <c r="O179" s="64">
        <v>8404</v>
      </c>
      <c r="P179" s="62">
        <f t="shared" si="77"/>
        <v>1</v>
      </c>
      <c r="Q179" s="62">
        <f t="shared" si="78"/>
        <v>0.995</v>
      </c>
    </row>
    <row r="180" spans="1:17" ht="30" x14ac:dyDescent="0.25">
      <c r="A180" s="180" t="s">
        <v>9</v>
      </c>
      <c r="B180" s="176" t="s">
        <v>5</v>
      </c>
      <c r="C180" s="181" t="s">
        <v>166</v>
      </c>
      <c r="D180" s="15">
        <v>686</v>
      </c>
      <c r="E180" s="15">
        <v>0</v>
      </c>
      <c r="F180" s="15">
        <v>0</v>
      </c>
      <c r="G180" s="15">
        <v>0</v>
      </c>
      <c r="H180" s="88">
        <v>0</v>
      </c>
      <c r="I180" s="62"/>
      <c r="J180" s="62"/>
      <c r="K180" s="66">
        <v>1773.5</v>
      </c>
      <c r="L180" s="66">
        <v>0</v>
      </c>
      <c r="M180" s="66">
        <v>0</v>
      </c>
      <c r="N180" s="66">
        <v>0</v>
      </c>
      <c r="O180" s="66">
        <v>0</v>
      </c>
      <c r="P180" s="62"/>
      <c r="Q180" s="62"/>
    </row>
    <row r="181" spans="1:17" ht="45" x14ac:dyDescent="0.25">
      <c r="A181" s="180" t="s">
        <v>8</v>
      </c>
      <c r="B181" s="176" t="s">
        <v>188</v>
      </c>
      <c r="C181" s="181" t="s">
        <v>189</v>
      </c>
      <c r="D181" s="15">
        <v>3953</v>
      </c>
      <c r="E181" s="15">
        <v>0</v>
      </c>
      <c r="F181" s="15">
        <v>0</v>
      </c>
      <c r="G181" s="15">
        <v>0</v>
      </c>
      <c r="H181" s="88">
        <v>0</v>
      </c>
      <c r="I181" s="62"/>
      <c r="J181" s="62"/>
      <c r="K181" s="66">
        <v>4897.6000000000004</v>
      </c>
      <c r="L181" s="66">
        <v>0</v>
      </c>
      <c r="M181" s="66">
        <v>0</v>
      </c>
      <c r="N181" s="66">
        <v>0</v>
      </c>
      <c r="O181" s="66">
        <v>0</v>
      </c>
      <c r="P181" s="62"/>
      <c r="Q181" s="62"/>
    </row>
    <row r="182" spans="1:17" ht="60" x14ac:dyDescent="0.25">
      <c r="A182" s="180" t="s">
        <v>118</v>
      </c>
      <c r="B182" s="176" t="s">
        <v>190</v>
      </c>
      <c r="C182" s="181" t="s">
        <v>166</v>
      </c>
      <c r="D182" s="15">
        <v>93</v>
      </c>
      <c r="E182" s="15">
        <v>0</v>
      </c>
      <c r="F182" s="15">
        <v>0</v>
      </c>
      <c r="G182" s="15">
        <v>0</v>
      </c>
      <c r="H182" s="88">
        <v>0</v>
      </c>
      <c r="I182" s="62"/>
      <c r="J182" s="62"/>
      <c r="K182" s="66">
        <v>898.3</v>
      </c>
      <c r="L182" s="66">
        <v>0</v>
      </c>
      <c r="M182" s="66">
        <v>0</v>
      </c>
      <c r="N182" s="66">
        <v>0</v>
      </c>
      <c r="O182" s="66">
        <v>0</v>
      </c>
      <c r="P182" s="62"/>
      <c r="Q182" s="62"/>
    </row>
    <row r="183" spans="1:17" ht="30" x14ac:dyDescent="0.25">
      <c r="A183" s="184" t="s">
        <v>229</v>
      </c>
      <c r="B183" s="185" t="s">
        <v>191</v>
      </c>
      <c r="C183" s="186" t="s">
        <v>180</v>
      </c>
      <c r="D183" s="187">
        <v>0</v>
      </c>
      <c r="E183" s="187">
        <v>481</v>
      </c>
      <c r="F183" s="187">
        <v>481</v>
      </c>
      <c r="G183" s="187">
        <v>481</v>
      </c>
      <c r="H183" s="90">
        <v>481</v>
      </c>
      <c r="I183" s="62"/>
      <c r="J183" s="62">
        <f t="shared" si="76"/>
        <v>1</v>
      </c>
      <c r="K183" s="65">
        <v>0</v>
      </c>
      <c r="L183" s="65">
        <v>0</v>
      </c>
      <c r="M183" s="65">
        <v>3634</v>
      </c>
      <c r="N183" s="65">
        <v>3634</v>
      </c>
      <c r="O183" s="65">
        <v>3634</v>
      </c>
      <c r="P183" s="62"/>
      <c r="Q183" s="62"/>
    </row>
    <row r="184" spans="1:17" ht="24.75" customHeight="1" x14ac:dyDescent="0.25">
      <c r="A184" s="106" t="s">
        <v>33</v>
      </c>
      <c r="B184" s="106"/>
      <c r="C184" s="106"/>
      <c r="D184" s="7"/>
      <c r="E184" s="7"/>
      <c r="F184" s="7"/>
      <c r="G184" s="7"/>
      <c r="H184" s="7"/>
      <c r="I184" s="62"/>
      <c r="J184" s="62"/>
      <c r="K184" s="7"/>
      <c r="L184" s="7"/>
      <c r="M184" s="7"/>
      <c r="N184" s="7"/>
      <c r="O184" s="7"/>
      <c r="P184" s="62"/>
      <c r="Q184" s="62"/>
    </row>
    <row r="185" spans="1:17" ht="48" customHeight="1" x14ac:dyDescent="0.25">
      <c r="A185" s="148" t="s">
        <v>16</v>
      </c>
      <c r="B185" s="61" t="s">
        <v>119</v>
      </c>
      <c r="C185" s="17" t="s">
        <v>120</v>
      </c>
      <c r="D185" s="15">
        <v>6078</v>
      </c>
      <c r="E185" s="15">
        <v>5952</v>
      </c>
      <c r="F185" s="15"/>
      <c r="G185" s="15"/>
      <c r="H185" s="15"/>
      <c r="I185" s="62">
        <f t="shared" ref="I185" si="79">F185/D185</f>
        <v>0</v>
      </c>
      <c r="J185" s="62">
        <f t="shared" ref="J185" si="80">F185/E185</f>
        <v>0</v>
      </c>
      <c r="K185" s="63">
        <v>3149.4</v>
      </c>
      <c r="L185" s="63">
        <v>3522</v>
      </c>
      <c r="M185" s="63"/>
      <c r="N185" s="63"/>
      <c r="O185" s="63"/>
      <c r="P185" s="62">
        <f t="shared" ref="P185" si="81">M185/K185</f>
        <v>0</v>
      </c>
      <c r="Q185" s="62">
        <f t="shared" ref="Q185" si="82">M185/L185</f>
        <v>0</v>
      </c>
    </row>
    <row r="186" spans="1:17" ht="48" customHeight="1" x14ac:dyDescent="0.25">
      <c r="A186" s="150"/>
      <c r="B186" s="61" t="s">
        <v>306</v>
      </c>
      <c r="C186" s="17" t="s">
        <v>306</v>
      </c>
      <c r="D186" s="15"/>
      <c r="E186" s="15"/>
      <c r="F186" s="15">
        <v>663</v>
      </c>
      <c r="G186" s="15">
        <v>663</v>
      </c>
      <c r="H186" s="15">
        <v>663</v>
      </c>
      <c r="I186" s="62"/>
      <c r="J186" s="62"/>
      <c r="K186" s="63"/>
      <c r="L186" s="63"/>
      <c r="M186" s="63">
        <v>3513.8</v>
      </c>
      <c r="N186" s="63">
        <v>3513.8</v>
      </c>
      <c r="O186" s="63">
        <v>3513.8</v>
      </c>
      <c r="P186" s="62"/>
      <c r="Q186" s="62"/>
    </row>
    <row r="187" spans="1:17" ht="48" customHeight="1" x14ac:dyDescent="0.25">
      <c r="A187" s="188" t="s">
        <v>307</v>
      </c>
      <c r="B187" s="77" t="s">
        <v>308</v>
      </c>
      <c r="C187" s="161" t="s">
        <v>309</v>
      </c>
      <c r="D187" s="7">
        <v>1711</v>
      </c>
      <c r="E187" s="7">
        <v>1703</v>
      </c>
      <c r="F187" s="7">
        <v>0</v>
      </c>
      <c r="G187" s="7">
        <v>0</v>
      </c>
      <c r="H187" s="71">
        <v>0</v>
      </c>
      <c r="I187" s="71">
        <v>0</v>
      </c>
      <c r="J187" s="71">
        <v>0</v>
      </c>
      <c r="K187" s="97">
        <v>10486</v>
      </c>
      <c r="L187" s="95">
        <v>10443.5</v>
      </c>
      <c r="M187" s="97">
        <v>0</v>
      </c>
      <c r="N187" s="97">
        <v>0</v>
      </c>
      <c r="O187" s="97">
        <v>0</v>
      </c>
      <c r="P187" s="100">
        <f>M194/K187</f>
        <v>1.26</v>
      </c>
      <c r="Q187" s="100">
        <f>M194/L187</f>
        <v>1.26</v>
      </c>
    </row>
    <row r="188" spans="1:17" ht="48" customHeight="1" x14ac:dyDescent="0.25">
      <c r="A188" s="189"/>
      <c r="B188" s="77" t="s">
        <v>310</v>
      </c>
      <c r="C188" s="161" t="s">
        <v>196</v>
      </c>
      <c r="D188" s="7">
        <v>1711</v>
      </c>
      <c r="E188" s="7">
        <v>1703</v>
      </c>
      <c r="F188" s="7">
        <v>0</v>
      </c>
      <c r="G188" s="7">
        <v>0</v>
      </c>
      <c r="H188" s="71">
        <v>0</v>
      </c>
      <c r="I188" s="71">
        <v>0</v>
      </c>
      <c r="J188" s="71">
        <v>0</v>
      </c>
      <c r="K188" s="98"/>
      <c r="L188" s="115"/>
      <c r="M188" s="98"/>
      <c r="N188" s="98"/>
      <c r="O188" s="98"/>
      <c r="P188" s="101"/>
      <c r="Q188" s="101"/>
    </row>
    <row r="189" spans="1:17" ht="48" customHeight="1" x14ac:dyDescent="0.25">
      <c r="A189" s="189"/>
      <c r="B189" s="77" t="s">
        <v>311</v>
      </c>
      <c r="C189" s="161" t="s">
        <v>196</v>
      </c>
      <c r="D189" s="7">
        <v>2</v>
      </c>
      <c r="E189" s="7">
        <v>2</v>
      </c>
      <c r="F189" s="7">
        <v>0</v>
      </c>
      <c r="G189" s="7">
        <v>0</v>
      </c>
      <c r="H189" s="71">
        <v>0</v>
      </c>
      <c r="I189" s="71">
        <v>0</v>
      </c>
      <c r="J189" s="71">
        <v>0</v>
      </c>
      <c r="K189" s="98"/>
      <c r="L189" s="115"/>
      <c r="M189" s="98"/>
      <c r="N189" s="98"/>
      <c r="O189" s="98"/>
      <c r="P189" s="101"/>
      <c r="Q189" s="101"/>
    </row>
    <row r="190" spans="1:17" ht="48" customHeight="1" x14ac:dyDescent="0.25">
      <c r="A190" s="189"/>
      <c r="B190" s="77" t="s">
        <v>312</v>
      </c>
      <c r="C190" s="161" t="s">
        <v>196</v>
      </c>
      <c r="D190" s="7">
        <v>77</v>
      </c>
      <c r="E190" s="7">
        <v>91</v>
      </c>
      <c r="F190" s="7">
        <v>0</v>
      </c>
      <c r="G190" s="7">
        <v>0</v>
      </c>
      <c r="H190" s="71">
        <v>0</v>
      </c>
      <c r="I190" s="71">
        <v>0</v>
      </c>
      <c r="J190" s="71">
        <v>0</v>
      </c>
      <c r="K190" s="98"/>
      <c r="L190" s="115"/>
      <c r="M190" s="98"/>
      <c r="N190" s="98"/>
      <c r="O190" s="98"/>
      <c r="P190" s="101"/>
      <c r="Q190" s="101"/>
    </row>
    <row r="191" spans="1:17" ht="48" customHeight="1" x14ac:dyDescent="0.25">
      <c r="A191" s="189"/>
      <c r="B191" s="77" t="s">
        <v>313</v>
      </c>
      <c r="C191" s="161" t="s">
        <v>196</v>
      </c>
      <c r="D191" s="7">
        <v>5</v>
      </c>
      <c r="E191" s="7">
        <v>5</v>
      </c>
      <c r="F191" s="7">
        <v>0</v>
      </c>
      <c r="G191" s="7">
        <v>0</v>
      </c>
      <c r="H191" s="71">
        <v>0</v>
      </c>
      <c r="I191" s="71">
        <v>0</v>
      </c>
      <c r="J191" s="71">
        <v>0</v>
      </c>
      <c r="K191" s="98"/>
      <c r="L191" s="115"/>
      <c r="M191" s="98"/>
      <c r="N191" s="98"/>
      <c r="O191" s="98"/>
      <c r="P191" s="101"/>
      <c r="Q191" s="101"/>
    </row>
    <row r="192" spans="1:17" ht="48" customHeight="1" x14ac:dyDescent="0.25">
      <c r="A192" s="189"/>
      <c r="B192" s="77" t="s">
        <v>314</v>
      </c>
      <c r="C192" s="161" t="s">
        <v>196</v>
      </c>
      <c r="D192" s="7">
        <v>58</v>
      </c>
      <c r="E192" s="7">
        <v>60</v>
      </c>
      <c r="F192" s="7">
        <v>0</v>
      </c>
      <c r="G192" s="7">
        <v>0</v>
      </c>
      <c r="H192" s="71">
        <v>0</v>
      </c>
      <c r="I192" s="71">
        <v>0</v>
      </c>
      <c r="J192" s="71">
        <v>0</v>
      </c>
      <c r="K192" s="98"/>
      <c r="L192" s="115"/>
      <c r="M192" s="98"/>
      <c r="N192" s="98"/>
      <c r="O192" s="98"/>
      <c r="P192" s="101"/>
      <c r="Q192" s="101"/>
    </row>
    <row r="193" spans="1:19" ht="48" customHeight="1" x14ac:dyDescent="0.25">
      <c r="A193" s="190"/>
      <c r="B193" s="77" t="s">
        <v>315</v>
      </c>
      <c r="C193" s="161" t="s">
        <v>196</v>
      </c>
      <c r="D193" s="7">
        <v>8</v>
      </c>
      <c r="E193" s="7">
        <v>7</v>
      </c>
      <c r="F193" s="7">
        <v>0</v>
      </c>
      <c r="G193" s="7">
        <v>0</v>
      </c>
      <c r="H193" s="71">
        <v>0</v>
      </c>
      <c r="I193" s="71">
        <v>0</v>
      </c>
      <c r="J193" s="71">
        <v>0</v>
      </c>
      <c r="K193" s="99"/>
      <c r="L193" s="96"/>
      <c r="M193" s="99"/>
      <c r="N193" s="99"/>
      <c r="O193" s="99"/>
      <c r="P193" s="102"/>
      <c r="Q193" s="102"/>
    </row>
    <row r="194" spans="1:19" ht="48" customHeight="1" x14ac:dyDescent="0.25">
      <c r="A194" s="188" t="s">
        <v>307</v>
      </c>
      <c r="B194" s="77" t="s">
        <v>310</v>
      </c>
      <c r="C194" s="161" t="s">
        <v>196</v>
      </c>
      <c r="D194" s="7">
        <v>0</v>
      </c>
      <c r="E194" s="7">
        <v>0</v>
      </c>
      <c r="F194" s="7">
        <v>1700</v>
      </c>
      <c r="G194" s="7">
        <v>1700</v>
      </c>
      <c r="H194" s="71">
        <v>1700</v>
      </c>
      <c r="I194" s="71">
        <v>0</v>
      </c>
      <c r="J194" s="71">
        <v>0</v>
      </c>
      <c r="K194" s="71">
        <v>0</v>
      </c>
      <c r="L194" s="71">
        <v>0</v>
      </c>
      <c r="M194" s="97">
        <v>13168</v>
      </c>
      <c r="N194" s="97">
        <v>13168</v>
      </c>
      <c r="O194" s="97">
        <v>13168</v>
      </c>
      <c r="P194" s="100">
        <v>0</v>
      </c>
      <c r="Q194" s="100">
        <v>0</v>
      </c>
    </row>
    <row r="195" spans="1:19" ht="48" customHeight="1" x14ac:dyDescent="0.25">
      <c r="A195" s="191"/>
      <c r="B195" s="77" t="s">
        <v>316</v>
      </c>
      <c r="C195" s="161" t="s">
        <v>196</v>
      </c>
      <c r="D195" s="7">
        <v>0</v>
      </c>
      <c r="E195" s="7">
        <v>0</v>
      </c>
      <c r="F195" s="7">
        <v>140</v>
      </c>
      <c r="G195" s="7">
        <v>140</v>
      </c>
      <c r="H195" s="71">
        <v>140</v>
      </c>
      <c r="I195" s="71">
        <v>0</v>
      </c>
      <c r="J195" s="71">
        <v>0</v>
      </c>
      <c r="K195" s="71">
        <v>0</v>
      </c>
      <c r="L195" s="71">
        <v>0</v>
      </c>
      <c r="M195" s="98"/>
      <c r="N195" s="98"/>
      <c r="O195" s="98"/>
      <c r="P195" s="101"/>
      <c r="Q195" s="101"/>
    </row>
    <row r="196" spans="1:19" ht="48" customHeight="1" x14ac:dyDescent="0.25">
      <c r="A196" s="192"/>
      <c r="B196" s="161" t="s">
        <v>317</v>
      </c>
      <c r="C196" s="161" t="s">
        <v>196</v>
      </c>
      <c r="D196" s="7">
        <v>0</v>
      </c>
      <c r="E196" s="7">
        <v>0</v>
      </c>
      <c r="F196" s="7">
        <v>9</v>
      </c>
      <c r="G196" s="7">
        <v>9</v>
      </c>
      <c r="H196" s="71">
        <v>9</v>
      </c>
      <c r="I196" s="71">
        <v>0</v>
      </c>
      <c r="J196" s="71">
        <v>0</v>
      </c>
      <c r="K196" s="71">
        <v>0</v>
      </c>
      <c r="L196" s="71">
        <v>0</v>
      </c>
      <c r="M196" s="99"/>
      <c r="N196" s="99"/>
      <c r="O196" s="99"/>
      <c r="P196" s="102"/>
      <c r="Q196" s="102"/>
    </row>
    <row r="197" spans="1:19" ht="28.5" customHeight="1" x14ac:dyDescent="0.25">
      <c r="A197" s="124" t="s">
        <v>121</v>
      </c>
      <c r="B197" s="124"/>
      <c r="C197" s="124"/>
      <c r="D197" s="7"/>
      <c r="E197" s="7"/>
      <c r="F197" s="16"/>
      <c r="G197" s="16"/>
      <c r="H197" s="16"/>
      <c r="I197" s="62"/>
      <c r="J197" s="62"/>
      <c r="K197" s="7"/>
      <c r="L197" s="7"/>
      <c r="M197" s="7"/>
      <c r="N197" s="7"/>
      <c r="O197" s="7"/>
      <c r="P197" s="62"/>
      <c r="Q197" s="62"/>
    </row>
    <row r="198" spans="1:19" ht="28.5" customHeight="1" x14ac:dyDescent="0.25">
      <c r="A198" s="148" t="s">
        <v>124</v>
      </c>
      <c r="B198" s="61" t="s">
        <v>0</v>
      </c>
      <c r="C198" s="17" t="s">
        <v>40</v>
      </c>
      <c r="D198" s="15">
        <v>13</v>
      </c>
      <c r="E198" s="15">
        <v>15</v>
      </c>
      <c r="F198" s="15">
        <v>16</v>
      </c>
      <c r="G198" s="15">
        <v>16</v>
      </c>
      <c r="H198" s="15">
        <v>16</v>
      </c>
      <c r="I198" s="62">
        <f t="shared" ref="I198:I200" si="83">F198/D198</f>
        <v>1.2310000000000001</v>
      </c>
      <c r="J198" s="62">
        <f t="shared" ref="J198:J200" si="84">F198/E198</f>
        <v>1.0669999999999999</v>
      </c>
      <c r="K198" s="119">
        <v>9352.6</v>
      </c>
      <c r="L198" s="119">
        <v>10291.1</v>
      </c>
      <c r="M198" s="119">
        <v>8670.5</v>
      </c>
      <c r="N198" s="119">
        <v>6906.5</v>
      </c>
      <c r="O198" s="119">
        <v>3942.3</v>
      </c>
      <c r="P198" s="121">
        <f t="shared" ref="P198:P200" si="85">M198/K198</f>
        <v>0.92700000000000005</v>
      </c>
      <c r="Q198" s="121">
        <f t="shared" ref="Q198:Q200" si="86">M198/L198</f>
        <v>0.84299999999999997</v>
      </c>
    </row>
    <row r="199" spans="1:19" ht="28.5" customHeight="1" x14ac:dyDescent="0.25">
      <c r="A199" s="150"/>
      <c r="B199" s="61" t="s">
        <v>112</v>
      </c>
      <c r="C199" s="17" t="s">
        <v>175</v>
      </c>
      <c r="D199" s="15">
        <v>21000</v>
      </c>
      <c r="E199" s="15">
        <v>21000</v>
      </c>
      <c r="F199" s="15">
        <v>23200</v>
      </c>
      <c r="G199" s="15">
        <v>24400</v>
      </c>
      <c r="H199" s="15">
        <v>24400</v>
      </c>
      <c r="I199" s="62">
        <f t="shared" si="83"/>
        <v>1.105</v>
      </c>
      <c r="J199" s="62">
        <f t="shared" si="84"/>
        <v>1.105</v>
      </c>
      <c r="K199" s="120"/>
      <c r="L199" s="120"/>
      <c r="M199" s="120"/>
      <c r="N199" s="120"/>
      <c r="O199" s="120"/>
      <c r="P199" s="122"/>
      <c r="Q199" s="122"/>
    </row>
    <row r="200" spans="1:19" ht="63.75" customHeight="1" x14ac:dyDescent="0.25">
      <c r="A200" s="61" t="s">
        <v>125</v>
      </c>
      <c r="B200" s="61" t="s">
        <v>126</v>
      </c>
      <c r="C200" s="17" t="s">
        <v>127</v>
      </c>
      <c r="D200" s="20">
        <v>1.802</v>
      </c>
      <c r="E200" s="20">
        <v>2.1440000000000001</v>
      </c>
      <c r="F200" s="20">
        <v>2.1440000000000001</v>
      </c>
      <c r="G200" s="20">
        <v>2.1440000000000001</v>
      </c>
      <c r="H200" s="20">
        <v>2.1440000000000001</v>
      </c>
      <c r="I200" s="62">
        <f t="shared" si="83"/>
        <v>1.19</v>
      </c>
      <c r="J200" s="62">
        <f t="shared" si="84"/>
        <v>1</v>
      </c>
      <c r="K200" s="63">
        <v>2640</v>
      </c>
      <c r="L200" s="63">
        <v>2059</v>
      </c>
      <c r="M200" s="63">
        <v>2116.9</v>
      </c>
      <c r="N200" s="63">
        <v>1445.2</v>
      </c>
      <c r="O200" s="63">
        <v>1445.2</v>
      </c>
      <c r="P200" s="62">
        <f t="shared" si="85"/>
        <v>0.80200000000000005</v>
      </c>
      <c r="Q200" s="62">
        <f t="shared" si="86"/>
        <v>1.028</v>
      </c>
    </row>
    <row r="201" spans="1:19" ht="30" x14ac:dyDescent="0.25">
      <c r="A201" s="148" t="s">
        <v>101</v>
      </c>
      <c r="B201" s="178" t="s">
        <v>362</v>
      </c>
      <c r="C201" s="179" t="s">
        <v>180</v>
      </c>
      <c r="D201" s="179">
        <v>5</v>
      </c>
      <c r="E201" s="179">
        <v>5</v>
      </c>
      <c r="F201" s="179">
        <v>5</v>
      </c>
      <c r="G201" s="179">
        <v>5</v>
      </c>
      <c r="H201" s="70">
        <v>5</v>
      </c>
      <c r="I201" s="62">
        <f t="shared" ref="I201:I202" si="87">F201/D201</f>
        <v>1</v>
      </c>
      <c r="J201" s="62">
        <f t="shared" ref="J201:J202" si="88">F201/E201</f>
        <v>1</v>
      </c>
      <c r="K201" s="69">
        <v>19886.599999999999</v>
      </c>
      <c r="L201" s="70">
        <v>19811.7</v>
      </c>
      <c r="M201" s="70">
        <v>20043.099999999999</v>
      </c>
      <c r="N201" s="70">
        <f>M201</f>
        <v>20043.099999999999</v>
      </c>
      <c r="O201" s="70">
        <f>N201</f>
        <v>20043.099999999999</v>
      </c>
      <c r="P201" s="70">
        <f>M201/K201*100</f>
        <v>100.786962074965</v>
      </c>
      <c r="Q201" s="70">
        <f>M201/L201*100</f>
        <v>101.167996688825</v>
      </c>
      <c r="S201">
        <v>1000</v>
      </c>
    </row>
    <row r="202" spans="1:19" ht="30" x14ac:dyDescent="0.25">
      <c r="A202" s="150"/>
      <c r="B202" s="178" t="s">
        <v>363</v>
      </c>
      <c r="C202" s="179" t="s">
        <v>364</v>
      </c>
      <c r="D202" s="179">
        <v>5</v>
      </c>
      <c r="E202" s="179">
        <v>5</v>
      </c>
      <c r="F202" s="179">
        <v>5</v>
      </c>
      <c r="G202" s="179">
        <v>5</v>
      </c>
      <c r="H202" s="70">
        <v>5</v>
      </c>
      <c r="I202" s="62">
        <f t="shared" si="87"/>
        <v>1</v>
      </c>
      <c r="J202" s="62">
        <f t="shared" si="88"/>
        <v>1</v>
      </c>
      <c r="K202" s="70">
        <v>500</v>
      </c>
      <c r="L202" s="70">
        <v>500</v>
      </c>
      <c r="M202" s="70">
        <f>(L202)</f>
        <v>500</v>
      </c>
      <c r="N202" s="70">
        <f>M202</f>
        <v>500</v>
      </c>
      <c r="O202" s="70">
        <f>M202</f>
        <v>500</v>
      </c>
      <c r="P202" s="70">
        <v>100</v>
      </c>
      <c r="Q202" s="70">
        <v>100</v>
      </c>
    </row>
    <row r="203" spans="1:19" ht="17.25" x14ac:dyDescent="0.3">
      <c r="A203" s="162"/>
      <c r="B203" s="162"/>
      <c r="C203" s="162"/>
      <c r="D203" s="193"/>
      <c r="E203" s="193"/>
      <c r="F203" s="193"/>
      <c r="G203" s="193"/>
      <c r="H203" s="4"/>
      <c r="I203" s="4"/>
      <c r="J203" s="4"/>
      <c r="K203" s="4"/>
      <c r="L203" s="4"/>
      <c r="M203" s="3"/>
      <c r="N203" s="2"/>
    </row>
    <row r="204" spans="1:19" ht="17.25" x14ac:dyDescent="0.3">
      <c r="A204" s="162"/>
      <c r="B204" s="162"/>
      <c r="C204" s="162"/>
      <c r="D204" s="193"/>
      <c r="E204" s="193"/>
      <c r="F204" s="193"/>
      <c r="G204" s="193"/>
      <c r="H204" s="4"/>
      <c r="I204" s="4"/>
      <c r="J204" s="4"/>
      <c r="K204" s="4"/>
      <c r="L204" s="4"/>
      <c r="M204" s="3"/>
      <c r="N204" s="2"/>
    </row>
    <row r="205" spans="1:19" ht="17.25" x14ac:dyDescent="0.3">
      <c r="A205" s="162"/>
      <c r="B205" s="162"/>
      <c r="C205" s="162"/>
      <c r="D205" s="193"/>
      <c r="E205" s="193"/>
      <c r="F205" s="193"/>
      <c r="G205" s="193"/>
      <c r="H205" s="4"/>
      <c r="I205" s="4"/>
      <c r="J205" s="4"/>
      <c r="K205" s="4"/>
      <c r="L205" s="4"/>
      <c r="M205" s="3"/>
      <c r="N205" s="2"/>
    </row>
    <row r="206" spans="1:19" ht="17.25" x14ac:dyDescent="0.3">
      <c r="A206" s="162"/>
      <c r="B206" s="162"/>
      <c r="C206" s="162"/>
      <c r="D206" s="193"/>
      <c r="E206" s="193"/>
      <c r="F206" s="193"/>
      <c r="G206" s="193"/>
      <c r="H206" s="4"/>
      <c r="I206" s="4"/>
      <c r="J206" s="4"/>
      <c r="K206" s="4"/>
      <c r="L206" s="4"/>
      <c r="M206" s="3"/>
      <c r="N206" s="2"/>
    </row>
    <row r="207" spans="1:19" ht="17.25" x14ac:dyDescent="0.3">
      <c r="A207" s="162"/>
      <c r="B207" s="162"/>
      <c r="C207" s="162"/>
      <c r="D207" s="193"/>
      <c r="E207" s="193"/>
      <c r="F207" s="193"/>
      <c r="G207" s="193"/>
      <c r="H207" s="4"/>
      <c r="I207" s="4"/>
      <c r="J207" s="4"/>
      <c r="K207" s="4"/>
      <c r="L207" s="4"/>
      <c r="M207" s="3"/>
      <c r="N207" s="2"/>
    </row>
    <row r="208" spans="1:19" ht="17.25" x14ac:dyDescent="0.3">
      <c r="A208" s="162"/>
      <c r="B208" s="162"/>
      <c r="C208" s="162"/>
      <c r="D208" s="193"/>
      <c r="E208" s="193"/>
      <c r="F208" s="193"/>
      <c r="G208" s="193"/>
      <c r="H208" s="4"/>
      <c r="I208" s="4"/>
      <c r="J208" s="4"/>
      <c r="K208" s="4"/>
      <c r="L208" s="4"/>
      <c r="M208" s="3"/>
      <c r="N208" s="2"/>
    </row>
    <row r="209" spans="1:14" ht="17.25" x14ac:dyDescent="0.3">
      <c r="A209" s="162"/>
      <c r="B209" s="162"/>
      <c r="C209" s="162"/>
      <c r="D209" s="193"/>
      <c r="E209" s="193"/>
      <c r="F209" s="193"/>
      <c r="G209" s="193"/>
      <c r="H209" s="4"/>
      <c r="I209" s="4"/>
      <c r="J209" s="4"/>
      <c r="K209" s="4"/>
      <c r="L209" s="4"/>
      <c r="M209" s="3"/>
      <c r="N209" s="2"/>
    </row>
    <row r="210" spans="1:14" ht="17.25" x14ac:dyDescent="0.3">
      <c r="A210" s="162"/>
      <c r="B210" s="162"/>
      <c r="C210" s="162"/>
      <c r="D210" s="193"/>
      <c r="E210" s="193"/>
      <c r="F210" s="193"/>
      <c r="G210" s="193"/>
      <c r="H210" s="4"/>
      <c r="I210" s="4"/>
      <c r="J210" s="4"/>
      <c r="K210" s="4"/>
      <c r="L210" s="4"/>
      <c r="M210" s="3"/>
      <c r="N210" s="2"/>
    </row>
    <row r="211" spans="1:14" ht="17.25" x14ac:dyDescent="0.3">
      <c r="A211" s="162"/>
      <c r="B211" s="162"/>
      <c r="C211" s="162"/>
      <c r="D211" s="193"/>
      <c r="E211" s="193"/>
      <c r="F211" s="193"/>
      <c r="G211" s="193"/>
      <c r="H211" s="4"/>
      <c r="I211" s="4"/>
      <c r="J211" s="4"/>
      <c r="K211" s="4"/>
      <c r="L211" s="4"/>
      <c r="M211" s="3"/>
      <c r="N211" s="2"/>
    </row>
    <row r="212" spans="1:14" ht="17.25" x14ac:dyDescent="0.3">
      <c r="A212" s="162"/>
      <c r="B212" s="162"/>
      <c r="C212" s="162"/>
      <c r="D212" s="193"/>
      <c r="E212" s="193"/>
      <c r="F212" s="193"/>
      <c r="G212" s="193"/>
      <c r="H212" s="4"/>
      <c r="I212" s="4"/>
      <c r="J212" s="4"/>
      <c r="K212" s="4"/>
      <c r="L212" s="4"/>
      <c r="M212" s="3"/>
      <c r="N212" s="2"/>
    </row>
    <row r="213" spans="1:14" ht="17.25" x14ac:dyDescent="0.3">
      <c r="A213" s="162"/>
      <c r="B213" s="162"/>
      <c r="C213" s="162"/>
      <c r="D213" s="193"/>
      <c r="E213" s="193"/>
      <c r="F213" s="193"/>
      <c r="G213" s="193"/>
      <c r="H213" s="4"/>
      <c r="I213" s="4"/>
      <c r="J213" s="4"/>
      <c r="K213" s="4"/>
      <c r="L213" s="4"/>
      <c r="M213" s="3"/>
      <c r="N213" s="2"/>
    </row>
    <row r="214" spans="1:14" ht="17.25" x14ac:dyDescent="0.3">
      <c r="A214" s="162"/>
      <c r="B214" s="162"/>
      <c r="C214" s="162"/>
      <c r="D214" s="193"/>
      <c r="E214" s="193"/>
      <c r="F214" s="193"/>
      <c r="G214" s="193"/>
      <c r="H214" s="4"/>
      <c r="I214" s="4"/>
      <c r="J214" s="4"/>
      <c r="K214" s="4"/>
      <c r="L214" s="4"/>
      <c r="M214" s="3"/>
      <c r="N214" s="2"/>
    </row>
    <row r="215" spans="1:14" ht="17.25" x14ac:dyDescent="0.3">
      <c r="A215" s="162"/>
      <c r="B215" s="162"/>
      <c r="C215" s="162"/>
      <c r="D215" s="193"/>
      <c r="E215" s="193"/>
      <c r="F215" s="193"/>
      <c r="G215" s="193"/>
      <c r="H215" s="4"/>
      <c r="I215" s="4"/>
      <c r="J215" s="4"/>
      <c r="K215" s="4"/>
      <c r="L215" s="4"/>
      <c r="M215" s="3"/>
      <c r="N215" s="2"/>
    </row>
    <row r="216" spans="1:14" ht="17.25" x14ac:dyDescent="0.3">
      <c r="A216" s="162"/>
      <c r="B216" s="162"/>
      <c r="C216" s="162"/>
      <c r="D216" s="193"/>
      <c r="E216" s="193"/>
      <c r="F216" s="193"/>
      <c r="G216" s="193"/>
      <c r="H216" s="4"/>
      <c r="I216" s="4"/>
      <c r="J216" s="4"/>
      <c r="K216" s="4"/>
      <c r="L216" s="4"/>
      <c r="M216" s="3"/>
      <c r="N216" s="2"/>
    </row>
    <row r="217" spans="1:14" ht="17.25" x14ac:dyDescent="0.3">
      <c r="A217" s="162"/>
      <c r="B217" s="162"/>
      <c r="C217" s="162"/>
      <c r="D217" s="193"/>
      <c r="E217" s="193"/>
      <c r="F217" s="193"/>
      <c r="G217" s="193"/>
      <c r="H217" s="4"/>
      <c r="I217" s="4"/>
      <c r="J217" s="4"/>
      <c r="K217" s="4"/>
      <c r="L217" s="4"/>
      <c r="M217" s="3"/>
      <c r="N217" s="2"/>
    </row>
    <row r="218" spans="1:14" ht="17.25" x14ac:dyDescent="0.3">
      <c r="A218" s="162"/>
      <c r="B218" s="162"/>
      <c r="C218" s="162"/>
      <c r="D218" s="193"/>
      <c r="E218" s="193"/>
      <c r="F218" s="193"/>
      <c r="G218" s="193"/>
      <c r="H218" s="4"/>
      <c r="I218" s="4"/>
      <c r="J218" s="4"/>
      <c r="K218" s="4"/>
      <c r="L218" s="4"/>
      <c r="M218" s="3"/>
      <c r="N218" s="2"/>
    </row>
    <row r="219" spans="1:14" ht="17.25" x14ac:dyDescent="0.3">
      <c r="A219" s="162"/>
      <c r="B219" s="162"/>
      <c r="C219" s="162"/>
      <c r="D219" s="193"/>
      <c r="E219" s="193"/>
      <c r="F219" s="193"/>
      <c r="G219" s="193"/>
      <c r="H219" s="4"/>
      <c r="I219" s="4"/>
      <c r="J219" s="4"/>
      <c r="K219" s="4"/>
      <c r="L219" s="4"/>
      <c r="M219" s="3"/>
      <c r="N219" s="2"/>
    </row>
    <row r="220" spans="1:14" ht="17.25" x14ac:dyDescent="0.3">
      <c r="A220" s="162"/>
      <c r="B220" s="162"/>
      <c r="C220" s="162"/>
      <c r="D220" s="193"/>
      <c r="E220" s="193"/>
      <c r="F220" s="193"/>
      <c r="G220" s="193"/>
      <c r="H220" s="4"/>
      <c r="I220" s="4"/>
      <c r="J220" s="4"/>
      <c r="K220" s="4"/>
      <c r="L220" s="4"/>
      <c r="M220" s="3"/>
      <c r="N220" s="2"/>
    </row>
    <row r="221" spans="1:14" ht="17.25" x14ac:dyDescent="0.3">
      <c r="A221" s="162"/>
      <c r="B221" s="162"/>
      <c r="C221" s="162"/>
      <c r="D221" s="193"/>
      <c r="E221" s="193"/>
      <c r="F221" s="193"/>
      <c r="G221" s="193"/>
      <c r="H221" s="4"/>
      <c r="I221" s="4"/>
      <c r="J221" s="4"/>
      <c r="K221" s="4"/>
      <c r="L221" s="4"/>
      <c r="M221" s="3"/>
      <c r="N221" s="2"/>
    </row>
    <row r="222" spans="1:14" ht="17.25" x14ac:dyDescent="0.3">
      <c r="A222" s="162"/>
      <c r="B222" s="162"/>
      <c r="C222" s="162"/>
      <c r="D222" s="193"/>
      <c r="E222" s="193"/>
      <c r="F222" s="193"/>
      <c r="G222" s="193"/>
      <c r="H222" s="4"/>
      <c r="I222" s="4"/>
      <c r="J222" s="4"/>
      <c r="K222" s="4"/>
      <c r="L222" s="4"/>
      <c r="M222" s="3"/>
      <c r="N222" s="2"/>
    </row>
    <row r="223" spans="1:14" ht="17.25" x14ac:dyDescent="0.3">
      <c r="A223" s="162"/>
      <c r="B223" s="162"/>
      <c r="C223" s="162"/>
      <c r="D223" s="193"/>
      <c r="E223" s="193"/>
      <c r="F223" s="193"/>
      <c r="G223" s="193"/>
      <c r="H223" s="4"/>
      <c r="I223" s="4"/>
      <c r="J223" s="4"/>
      <c r="K223" s="4"/>
      <c r="L223" s="4"/>
      <c r="M223" s="3"/>
      <c r="N223" s="2"/>
    </row>
    <row r="224" spans="1:14" ht="17.25" x14ac:dyDescent="0.3">
      <c r="A224" s="162"/>
      <c r="B224" s="162"/>
      <c r="C224" s="162"/>
      <c r="D224" s="193"/>
      <c r="E224" s="193"/>
      <c r="F224" s="193"/>
      <c r="G224" s="193"/>
      <c r="H224" s="4"/>
      <c r="I224" s="4"/>
      <c r="J224" s="4"/>
      <c r="K224" s="4"/>
      <c r="L224" s="4"/>
      <c r="M224" s="3"/>
      <c r="N224" s="2"/>
    </row>
    <row r="225" spans="4:14" ht="17.25" x14ac:dyDescent="0.3">
      <c r="D225" s="4"/>
      <c r="E225" s="4"/>
      <c r="F225" s="4"/>
      <c r="G225" s="4"/>
      <c r="H225" s="4"/>
      <c r="I225" s="4"/>
      <c r="J225" s="4"/>
      <c r="K225" s="4"/>
      <c r="L225" s="4"/>
      <c r="M225" s="3"/>
      <c r="N225" s="2"/>
    </row>
    <row r="226" spans="4:14" ht="17.25" x14ac:dyDescent="0.3">
      <c r="D226" s="4"/>
      <c r="E226" s="4"/>
      <c r="F226" s="4"/>
      <c r="G226" s="4"/>
      <c r="H226" s="4"/>
      <c r="I226" s="4"/>
      <c r="J226" s="4"/>
      <c r="K226" s="4"/>
      <c r="L226" s="4"/>
      <c r="M226" s="3"/>
      <c r="N226" s="2"/>
    </row>
    <row r="227" spans="4:14" ht="17.25" x14ac:dyDescent="0.3">
      <c r="D227" s="4"/>
      <c r="E227" s="4"/>
      <c r="F227" s="4"/>
      <c r="G227" s="4"/>
      <c r="H227" s="4"/>
      <c r="I227" s="4"/>
      <c r="J227" s="4"/>
      <c r="K227" s="4"/>
      <c r="L227" s="4"/>
      <c r="M227" s="3"/>
      <c r="N227" s="2"/>
    </row>
    <row r="228" spans="4:14" ht="17.25" x14ac:dyDescent="0.3">
      <c r="D228" s="4"/>
      <c r="E228" s="4"/>
      <c r="F228" s="4"/>
      <c r="G228" s="4"/>
      <c r="H228" s="4"/>
      <c r="I228" s="4"/>
      <c r="J228" s="4"/>
      <c r="K228" s="4"/>
      <c r="L228" s="4"/>
      <c r="M228" s="3"/>
      <c r="N228" s="2"/>
    </row>
    <row r="229" spans="4:14" ht="17.25" x14ac:dyDescent="0.3">
      <c r="D229" s="4"/>
      <c r="E229" s="4"/>
      <c r="F229" s="4"/>
      <c r="G229" s="4"/>
      <c r="H229" s="4"/>
      <c r="I229" s="4"/>
      <c r="J229" s="4"/>
      <c r="K229" s="4"/>
      <c r="L229" s="4"/>
      <c r="M229" s="3"/>
      <c r="N229" s="2"/>
    </row>
    <row r="230" spans="4:14" ht="17.25" x14ac:dyDescent="0.3">
      <c r="D230" s="4"/>
      <c r="E230" s="4"/>
      <c r="F230" s="4"/>
      <c r="G230" s="4"/>
      <c r="H230" s="4"/>
      <c r="I230" s="4"/>
      <c r="J230" s="4"/>
      <c r="K230" s="4"/>
      <c r="L230" s="4"/>
      <c r="M230" s="3"/>
      <c r="N230" s="2"/>
    </row>
    <row r="231" spans="4:14" ht="17.25" x14ac:dyDescent="0.3">
      <c r="D231" s="4"/>
      <c r="E231" s="4"/>
      <c r="F231" s="4"/>
      <c r="G231" s="4"/>
      <c r="H231" s="4"/>
      <c r="I231" s="4"/>
      <c r="J231" s="4"/>
      <c r="K231" s="4"/>
      <c r="L231" s="4"/>
      <c r="M231" s="3"/>
      <c r="N231" s="2"/>
    </row>
    <row r="232" spans="4:14" ht="17.25" x14ac:dyDescent="0.3">
      <c r="D232" s="4"/>
      <c r="E232" s="4"/>
      <c r="F232" s="4"/>
      <c r="G232" s="4"/>
      <c r="H232" s="4"/>
      <c r="I232" s="4"/>
      <c r="J232" s="4"/>
      <c r="K232" s="4"/>
      <c r="L232" s="4"/>
      <c r="M232" s="3"/>
      <c r="N232" s="2"/>
    </row>
    <row r="233" spans="4:14" ht="17.25" x14ac:dyDescent="0.3">
      <c r="D233" s="4"/>
      <c r="E233" s="4"/>
      <c r="F233" s="4"/>
      <c r="G233" s="4"/>
      <c r="H233" s="4"/>
      <c r="I233" s="4"/>
      <c r="J233" s="4"/>
      <c r="K233" s="4"/>
      <c r="L233" s="4"/>
      <c r="M233" s="3"/>
      <c r="N233" s="2"/>
    </row>
    <row r="234" spans="4:14" ht="17.25" x14ac:dyDescent="0.3">
      <c r="D234" s="4"/>
      <c r="E234" s="4"/>
      <c r="F234" s="4"/>
      <c r="G234" s="4"/>
      <c r="H234" s="4"/>
      <c r="I234" s="4"/>
      <c r="J234" s="4"/>
      <c r="K234" s="4"/>
      <c r="L234" s="4"/>
      <c r="M234" s="3"/>
      <c r="N234" s="2"/>
    </row>
    <row r="235" spans="4:14" ht="17.25" x14ac:dyDescent="0.3">
      <c r="D235" s="4"/>
      <c r="E235" s="4"/>
      <c r="F235" s="4"/>
      <c r="G235" s="4"/>
      <c r="H235" s="4"/>
      <c r="I235" s="4"/>
      <c r="J235" s="4"/>
      <c r="K235" s="4"/>
      <c r="L235" s="4"/>
      <c r="M235" s="3"/>
      <c r="N235" s="2"/>
    </row>
    <row r="236" spans="4:14" ht="17.25" x14ac:dyDescent="0.3">
      <c r="D236" s="4"/>
      <c r="E236" s="4"/>
      <c r="F236" s="4"/>
      <c r="G236" s="4"/>
      <c r="H236" s="4"/>
      <c r="I236" s="4"/>
      <c r="J236" s="4"/>
      <c r="K236" s="4"/>
      <c r="L236" s="4"/>
      <c r="M236" s="3"/>
      <c r="N236" s="2"/>
    </row>
    <row r="237" spans="4:14" ht="17.25" x14ac:dyDescent="0.3">
      <c r="D237" s="4"/>
      <c r="E237" s="4"/>
      <c r="F237" s="4"/>
      <c r="G237" s="4"/>
      <c r="H237" s="4"/>
      <c r="I237" s="4"/>
      <c r="J237" s="4"/>
      <c r="K237" s="4"/>
      <c r="L237" s="4"/>
      <c r="M237" s="3"/>
      <c r="N237" s="2"/>
    </row>
    <row r="238" spans="4:14" ht="17.25" x14ac:dyDescent="0.3">
      <c r="D238" s="4"/>
      <c r="E238" s="4"/>
      <c r="F238" s="4"/>
      <c r="G238" s="4"/>
      <c r="H238" s="4"/>
      <c r="I238" s="4"/>
      <c r="J238" s="4"/>
      <c r="K238" s="4"/>
      <c r="L238" s="4"/>
      <c r="M238" s="3"/>
      <c r="N238" s="2"/>
    </row>
    <row r="239" spans="4:14" ht="17.25" x14ac:dyDescent="0.3">
      <c r="D239" s="4"/>
      <c r="E239" s="4"/>
      <c r="F239" s="4"/>
      <c r="G239" s="4"/>
      <c r="H239" s="4"/>
      <c r="I239" s="4"/>
      <c r="J239" s="4"/>
      <c r="K239" s="4"/>
      <c r="L239" s="4"/>
      <c r="M239" s="3"/>
      <c r="N239" s="2"/>
    </row>
    <row r="240" spans="4:14" ht="17.25" x14ac:dyDescent="0.3">
      <c r="D240" s="4"/>
      <c r="E240" s="4"/>
      <c r="I240" s="4"/>
      <c r="J240" s="4"/>
      <c r="K240" s="4"/>
      <c r="L240" s="4"/>
      <c r="M240" s="3"/>
      <c r="N240" s="2"/>
    </row>
    <row r="241" spans="13:14" x14ac:dyDescent="0.25">
      <c r="M241" s="2"/>
      <c r="N241" s="2"/>
    </row>
    <row r="242" spans="13:14" x14ac:dyDescent="0.25">
      <c r="M242" s="2"/>
      <c r="N242" s="2"/>
    </row>
    <row r="243" spans="13:14" x14ac:dyDescent="0.25">
      <c r="M243" s="2"/>
      <c r="N243" s="2"/>
    </row>
    <row r="244" spans="13:14" x14ac:dyDescent="0.25">
      <c r="M244" s="2"/>
      <c r="N244" s="2"/>
    </row>
    <row r="245" spans="13:14" x14ac:dyDescent="0.25">
      <c r="M245" s="2"/>
      <c r="N245" s="2"/>
    </row>
    <row r="246" spans="13:14" x14ac:dyDescent="0.25">
      <c r="M246" s="2"/>
      <c r="N246" s="2"/>
    </row>
    <row r="247" spans="13:14" x14ac:dyDescent="0.25">
      <c r="M247" s="2"/>
      <c r="N247" s="2"/>
    </row>
    <row r="248" spans="13:14" x14ac:dyDescent="0.25">
      <c r="M248" s="2"/>
      <c r="N248" s="2"/>
    </row>
  </sheetData>
  <mergeCells count="101">
    <mergeCell ref="A2:K2"/>
    <mergeCell ref="A3:K3"/>
    <mergeCell ref="A5:A6"/>
    <mergeCell ref="B5:B6"/>
    <mergeCell ref="C5:C6"/>
    <mergeCell ref="F5:H5"/>
    <mergeCell ref="I5:I6"/>
    <mergeCell ref="J5:J6"/>
    <mergeCell ref="A66:C66"/>
    <mergeCell ref="A55:A56"/>
    <mergeCell ref="P5:P6"/>
    <mergeCell ref="Q5:Q6"/>
    <mergeCell ref="M67:M72"/>
    <mergeCell ref="N67:N72"/>
    <mergeCell ref="O67:O72"/>
    <mergeCell ref="P67:P72"/>
    <mergeCell ref="Q67:Q72"/>
    <mergeCell ref="M5:O5"/>
    <mergeCell ref="P131:P134"/>
    <mergeCell ref="Q131:Q134"/>
    <mergeCell ref="K131:K134"/>
    <mergeCell ref="L131:L134"/>
    <mergeCell ref="M131:M134"/>
    <mergeCell ref="N131:N134"/>
    <mergeCell ref="O131:O134"/>
    <mergeCell ref="A197:C197"/>
    <mergeCell ref="A146:C146"/>
    <mergeCell ref="A131:A134"/>
    <mergeCell ref="A135:A137"/>
    <mergeCell ref="A140:A142"/>
    <mergeCell ref="A138:A139"/>
    <mergeCell ref="K135:K137"/>
    <mergeCell ref="Q135:Q137"/>
    <mergeCell ref="K138:K139"/>
    <mergeCell ref="L138:L139"/>
    <mergeCell ref="M138:M139"/>
    <mergeCell ref="N138:N139"/>
    <mergeCell ref="O138:O139"/>
    <mergeCell ref="P138:P139"/>
    <mergeCell ref="Q138:Q139"/>
    <mergeCell ref="L135:L137"/>
    <mergeCell ref="M135:M137"/>
    <mergeCell ref="N135:N137"/>
    <mergeCell ref="O135:O137"/>
    <mergeCell ref="P135:P137"/>
    <mergeCell ref="P187:P193"/>
    <mergeCell ref="Q187:Q193"/>
    <mergeCell ref="A194:A196"/>
    <mergeCell ref="K140:K142"/>
    <mergeCell ref="L140:L142"/>
    <mergeCell ref="M140:M142"/>
    <mergeCell ref="N140:N142"/>
    <mergeCell ref="O140:O142"/>
    <mergeCell ref="O198:O199"/>
    <mergeCell ref="P198:P199"/>
    <mergeCell ref="Q198:Q199"/>
    <mergeCell ref="K198:K199"/>
    <mergeCell ref="L198:L199"/>
    <mergeCell ref="M198:M199"/>
    <mergeCell ref="N198:N199"/>
    <mergeCell ref="P194:P196"/>
    <mergeCell ref="Q194:Q196"/>
    <mergeCell ref="A74:A81"/>
    <mergeCell ref="A9:A14"/>
    <mergeCell ref="A185:A186"/>
    <mergeCell ref="A187:A193"/>
    <mergeCell ref="K187:K193"/>
    <mergeCell ref="A94:C94"/>
    <mergeCell ref="A128:B128"/>
    <mergeCell ref="A184:C184"/>
    <mergeCell ref="A83:A92"/>
    <mergeCell ref="A34:A35"/>
    <mergeCell ref="A17:A19"/>
    <mergeCell ref="A22:A23"/>
    <mergeCell ref="A24:A25"/>
    <mergeCell ref="A29:A30"/>
    <mergeCell ref="A20:A21"/>
    <mergeCell ref="A67:A72"/>
    <mergeCell ref="P140:P142"/>
    <mergeCell ref="Q140:Q142"/>
    <mergeCell ref="L187:L193"/>
    <mergeCell ref="M187:M193"/>
    <mergeCell ref="N187:N193"/>
    <mergeCell ref="O187:O193"/>
    <mergeCell ref="A31:B31"/>
    <mergeCell ref="A7:B7"/>
    <mergeCell ref="A58:B58"/>
    <mergeCell ref="A201:A202"/>
    <mergeCell ref="K108:K109"/>
    <mergeCell ref="L108:L109"/>
    <mergeCell ref="M108:M109"/>
    <mergeCell ref="N108:N109"/>
    <mergeCell ref="O108:O109"/>
    <mergeCell ref="M194:M196"/>
    <mergeCell ref="N194:N196"/>
    <mergeCell ref="O194:O196"/>
    <mergeCell ref="A198:A199"/>
    <mergeCell ref="K34:K35"/>
    <mergeCell ref="K67:K72"/>
    <mergeCell ref="L67:L72"/>
    <mergeCell ref="K55:K56"/>
  </mergeCells>
  <pageMargins left="0.36" right="0.15748031496062992" top="0.15748031496062992" bottom="0.35433070866141736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B2" sqref="B2:F8"/>
    </sheetView>
  </sheetViews>
  <sheetFormatPr defaultRowHeight="15" x14ac:dyDescent="0.25"/>
  <cols>
    <col min="2" max="2" width="13" customWidth="1"/>
    <col min="3" max="3" width="15.140625" customWidth="1"/>
    <col min="4" max="6" width="15" bestFit="1" customWidth="1"/>
  </cols>
  <sheetData>
    <row r="2" spans="2:6" x14ac:dyDescent="0.25">
      <c r="C2" t="s">
        <v>224</v>
      </c>
    </row>
    <row r="3" spans="2:6" x14ac:dyDescent="0.25">
      <c r="F3" t="s">
        <v>219</v>
      </c>
    </row>
    <row r="4" spans="2:6" x14ac:dyDescent="0.25">
      <c r="B4" s="22"/>
      <c r="C4" s="26" t="s">
        <v>220</v>
      </c>
      <c r="D4" s="26" t="s">
        <v>221</v>
      </c>
      <c r="E4" s="26" t="s">
        <v>222</v>
      </c>
      <c r="F4" s="26" t="s">
        <v>223</v>
      </c>
    </row>
    <row r="5" spans="2:6" x14ac:dyDescent="0.25">
      <c r="B5" s="24" t="s">
        <v>218</v>
      </c>
      <c r="C5" s="25">
        <v>74494411.099999994</v>
      </c>
      <c r="D5" s="25">
        <v>65105994.399999999</v>
      </c>
      <c r="E5" s="25">
        <v>63628383.799999997</v>
      </c>
      <c r="F5" s="25">
        <v>53674042.100000001</v>
      </c>
    </row>
    <row r="6" spans="2:6" x14ac:dyDescent="0.25">
      <c r="B6" s="22" t="s">
        <v>216</v>
      </c>
      <c r="C6" s="25">
        <v>19665989885.599998</v>
      </c>
      <c r="D6" s="25">
        <v>18311988470.900002</v>
      </c>
      <c r="E6" s="25">
        <v>18146601818.099998</v>
      </c>
      <c r="F6" s="25">
        <v>19229640831</v>
      </c>
    </row>
    <row r="7" spans="2:6" x14ac:dyDescent="0.25">
      <c r="B7" s="22" t="s">
        <v>217</v>
      </c>
      <c r="C7" s="23">
        <f>C5/C6*100</f>
        <v>0.38</v>
      </c>
      <c r="D7" s="23">
        <f t="shared" ref="D7:F7" si="0">D5/D6*100</f>
        <v>0.36</v>
      </c>
      <c r="E7" s="23">
        <f t="shared" si="0"/>
        <v>0.35</v>
      </c>
      <c r="F7" s="23">
        <f t="shared" si="0"/>
        <v>0.28000000000000003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2"/>
  <sheetViews>
    <sheetView topLeftCell="A6" workbookViewId="0">
      <selection activeCell="H17" sqref="H17:I17"/>
    </sheetView>
  </sheetViews>
  <sheetFormatPr defaultRowHeight="15" x14ac:dyDescent="0.25"/>
  <cols>
    <col min="1" max="1" width="8.5703125" customWidth="1"/>
    <col min="2" max="2" width="4.85546875" hidden="1" customWidth="1"/>
    <col min="3" max="3" width="48.5703125" customWidth="1"/>
    <col min="4" max="4" width="15.28515625" customWidth="1"/>
    <col min="5" max="5" width="12" customWidth="1"/>
    <col min="6" max="6" width="13" customWidth="1"/>
    <col min="7" max="7" width="11.7109375" customWidth="1"/>
    <col min="8" max="8" width="10.7109375" bestFit="1" customWidth="1"/>
    <col min="9" max="9" width="12.42578125" customWidth="1"/>
    <col min="10" max="10" width="11.42578125" customWidth="1"/>
  </cols>
  <sheetData>
    <row r="3" spans="2:11" ht="15.75" thickBot="1" x14ac:dyDescent="0.3"/>
    <row r="4" spans="2:11" x14ac:dyDescent="0.25">
      <c r="B4" s="133" t="s">
        <v>256</v>
      </c>
      <c r="C4" s="137" t="s">
        <v>257</v>
      </c>
      <c r="D4" s="139" t="s">
        <v>272</v>
      </c>
      <c r="E4" s="140"/>
      <c r="F4" s="139" t="s">
        <v>275</v>
      </c>
      <c r="G4" s="140"/>
      <c r="H4" s="138" t="s">
        <v>276</v>
      </c>
      <c r="I4" s="138"/>
      <c r="J4" s="135" t="s">
        <v>279</v>
      </c>
      <c r="K4" s="136"/>
    </row>
    <row r="5" spans="2:11" ht="43.5" customHeight="1" thickBot="1" x14ac:dyDescent="0.3">
      <c r="B5" s="134"/>
      <c r="C5" s="137"/>
      <c r="D5" s="36" t="s">
        <v>273</v>
      </c>
      <c r="E5" s="37" t="s">
        <v>274</v>
      </c>
      <c r="F5" s="36" t="s">
        <v>273</v>
      </c>
      <c r="G5" s="37" t="s">
        <v>274</v>
      </c>
      <c r="H5" s="36" t="s">
        <v>273</v>
      </c>
      <c r="I5" s="37" t="s">
        <v>274</v>
      </c>
      <c r="J5" s="36" t="s">
        <v>273</v>
      </c>
      <c r="K5" s="37" t="s">
        <v>274</v>
      </c>
    </row>
    <row r="6" spans="2:11" ht="15.75" thickBot="1" x14ac:dyDescent="0.3">
      <c r="B6" s="34">
        <v>1</v>
      </c>
      <c r="C6" s="38">
        <v>2</v>
      </c>
      <c r="D6" s="38">
        <v>3</v>
      </c>
      <c r="E6" s="22"/>
      <c r="F6" s="22"/>
      <c r="G6" s="22"/>
      <c r="H6" s="22"/>
      <c r="I6" s="22"/>
    </row>
    <row r="7" spans="2:11" ht="51.75" hidden="1" customHeight="1" thickBot="1" x14ac:dyDescent="0.3">
      <c r="B7" s="35">
        <v>1</v>
      </c>
      <c r="C7" s="39" t="s">
        <v>258</v>
      </c>
      <c r="D7" s="40">
        <v>802987.3</v>
      </c>
      <c r="E7" s="22"/>
      <c r="F7" s="22"/>
      <c r="G7" s="22"/>
      <c r="H7" s="22"/>
      <c r="I7" s="22"/>
    </row>
    <row r="8" spans="2:11" ht="39" hidden="1" customHeight="1" thickBot="1" x14ac:dyDescent="0.3">
      <c r="B8" s="35">
        <v>2</v>
      </c>
      <c r="C8" s="39" t="s">
        <v>259</v>
      </c>
      <c r="D8" s="40">
        <v>2895705.1</v>
      </c>
      <c r="E8" s="22"/>
      <c r="F8" s="22"/>
      <c r="G8" s="22"/>
      <c r="H8" s="22"/>
      <c r="I8" s="22"/>
    </row>
    <row r="9" spans="2:11" ht="26.25" hidden="1" customHeight="1" thickBot="1" x14ac:dyDescent="0.3">
      <c r="B9" s="35">
        <v>3</v>
      </c>
      <c r="C9" s="39" t="s">
        <v>260</v>
      </c>
      <c r="D9" s="40">
        <v>187044.7</v>
      </c>
      <c r="E9" s="22"/>
      <c r="F9" s="22"/>
      <c r="G9" s="22"/>
      <c r="H9" s="22"/>
      <c r="I9" s="22"/>
    </row>
    <row r="10" spans="2:11" ht="39" hidden="1" customHeight="1" thickBot="1" x14ac:dyDescent="0.3">
      <c r="B10" s="35">
        <v>4</v>
      </c>
      <c r="C10" s="39" t="s">
        <v>261</v>
      </c>
      <c r="D10" s="40">
        <v>1088882.6000000001</v>
      </c>
      <c r="E10" s="22"/>
      <c r="F10" s="22"/>
      <c r="G10" s="22"/>
      <c r="H10" s="22"/>
      <c r="I10" s="22"/>
    </row>
    <row r="11" spans="2:11" ht="39" thickBot="1" x14ac:dyDescent="0.3">
      <c r="B11" s="35">
        <v>5</v>
      </c>
      <c r="C11" s="39" t="s">
        <v>262</v>
      </c>
      <c r="D11" s="43">
        <v>3096132.4</v>
      </c>
      <c r="E11" s="43">
        <v>3096132.4</v>
      </c>
      <c r="F11" s="44">
        <v>2851126.5</v>
      </c>
      <c r="G11" s="44">
        <v>2851126.5</v>
      </c>
      <c r="H11" s="42">
        <f>F11-D11</f>
        <v>-245005.9</v>
      </c>
      <c r="I11" s="41">
        <f>G11-E11</f>
        <v>-245005.9</v>
      </c>
      <c r="J11" s="46">
        <f>F11/D11</f>
        <v>0.92100000000000004</v>
      </c>
      <c r="K11" s="46">
        <f>G11/E11</f>
        <v>0.92100000000000004</v>
      </c>
    </row>
    <row r="12" spans="2:11" ht="39" hidden="1" thickBot="1" x14ac:dyDescent="0.3">
      <c r="B12" s="35">
        <v>6</v>
      </c>
      <c r="C12" s="39" t="s">
        <v>263</v>
      </c>
      <c r="D12" s="43">
        <v>801975.6</v>
      </c>
      <c r="E12" s="41"/>
      <c r="F12" s="44">
        <v>618784.69999999995</v>
      </c>
      <c r="G12" s="41"/>
      <c r="H12" s="41"/>
      <c r="I12" s="41"/>
    </row>
    <row r="13" spans="2:11" ht="15.75" thickBot="1" x14ac:dyDescent="0.3">
      <c r="B13" s="35"/>
      <c r="C13" s="45" t="s">
        <v>277</v>
      </c>
      <c r="D13" s="43"/>
      <c r="E13" s="41"/>
      <c r="F13" s="44"/>
      <c r="G13" s="41"/>
      <c r="H13" s="41"/>
      <c r="I13" s="41"/>
    </row>
    <row r="14" spans="2:11" ht="26.25" thickBot="1" x14ac:dyDescent="0.3">
      <c r="B14" s="35"/>
      <c r="C14" s="55" t="s">
        <v>283</v>
      </c>
      <c r="D14" s="59">
        <v>316364.2</v>
      </c>
      <c r="E14" s="59">
        <v>316364.2</v>
      </c>
      <c r="F14" s="59">
        <v>3163.6</v>
      </c>
      <c r="G14" s="59">
        <v>3163.6</v>
      </c>
      <c r="H14" s="57">
        <f t="shared" ref="H14:I18" si="0">F14-D14</f>
        <v>-313200.59999999998</v>
      </c>
      <c r="I14" s="54">
        <f t="shared" si="0"/>
        <v>-313200.59999999998</v>
      </c>
      <c r="J14" s="51">
        <f>F14/D14</f>
        <v>0.01</v>
      </c>
      <c r="K14" s="51">
        <f>G14/E14</f>
        <v>0.01</v>
      </c>
    </row>
    <row r="15" spans="2:11" ht="15.75" thickBot="1" x14ac:dyDescent="0.3">
      <c r="B15" s="35"/>
      <c r="C15" s="55" t="s">
        <v>286</v>
      </c>
      <c r="D15" s="60">
        <v>247999.8</v>
      </c>
      <c r="E15" s="60">
        <v>247999.8</v>
      </c>
      <c r="F15" s="60">
        <v>366799.2</v>
      </c>
      <c r="G15" s="60">
        <v>366799.2</v>
      </c>
      <c r="H15" s="57">
        <f t="shared" si="0"/>
        <v>118799.4</v>
      </c>
      <c r="I15" s="54">
        <f t="shared" si="0"/>
        <v>118799.4</v>
      </c>
      <c r="J15" s="51"/>
      <c r="K15" s="51"/>
    </row>
    <row r="16" spans="2:11" ht="15.75" thickBot="1" x14ac:dyDescent="0.3">
      <c r="B16" s="35"/>
      <c r="C16" s="55" t="s">
        <v>287</v>
      </c>
      <c r="D16" s="60">
        <v>282679</v>
      </c>
      <c r="E16" s="60">
        <v>282679</v>
      </c>
      <c r="F16" s="60">
        <v>324564.59999999998</v>
      </c>
      <c r="G16" s="60">
        <v>324564.59999999998</v>
      </c>
      <c r="H16" s="57">
        <f t="shared" si="0"/>
        <v>41885.599999999999</v>
      </c>
      <c r="I16" s="54">
        <f t="shared" si="0"/>
        <v>41885.599999999999</v>
      </c>
      <c r="J16" s="51"/>
      <c r="K16" s="51"/>
    </row>
    <row r="17" spans="2:11" ht="15.75" thickBot="1" x14ac:dyDescent="0.3">
      <c r="B17" s="35"/>
      <c r="C17" s="55" t="s">
        <v>284</v>
      </c>
      <c r="D17" s="43">
        <v>352225.2</v>
      </c>
      <c r="E17" s="43">
        <v>352225.2</v>
      </c>
      <c r="F17" s="44">
        <v>251311.4</v>
      </c>
      <c r="G17" s="44">
        <v>251311.4</v>
      </c>
      <c r="H17" s="57">
        <f t="shared" si="0"/>
        <v>-100913.8</v>
      </c>
      <c r="I17" s="54">
        <f t="shared" si="0"/>
        <v>-100913.8</v>
      </c>
      <c r="J17" s="46">
        <f>F17/D17</f>
        <v>0.71299999999999997</v>
      </c>
      <c r="K17" s="46">
        <f>G17/E17</f>
        <v>0.71299999999999997</v>
      </c>
    </row>
    <row r="18" spans="2:11" ht="26.25" thickBot="1" x14ac:dyDescent="0.3">
      <c r="B18" s="35">
        <v>7</v>
      </c>
      <c r="C18" s="39" t="s">
        <v>264</v>
      </c>
      <c r="D18" s="43">
        <v>4959839</v>
      </c>
      <c r="E18" s="41">
        <v>4540505.9000000004</v>
      </c>
      <c r="F18" s="44">
        <v>4848163.9000000004</v>
      </c>
      <c r="G18" s="41">
        <v>4613238.2</v>
      </c>
      <c r="H18" s="42">
        <f t="shared" si="0"/>
        <v>-111675.1</v>
      </c>
      <c r="I18" s="41">
        <f t="shared" si="0"/>
        <v>72732.299999999799</v>
      </c>
      <c r="J18" s="46">
        <f>F18/D18</f>
        <v>0.97699999999999998</v>
      </c>
      <c r="K18" s="46">
        <f>G18/E18</f>
        <v>1.016</v>
      </c>
    </row>
    <row r="19" spans="2:11" ht="15.75" thickBot="1" x14ac:dyDescent="0.3">
      <c r="B19" s="35"/>
      <c r="C19" s="45" t="s">
        <v>277</v>
      </c>
      <c r="D19" s="43"/>
      <c r="E19" s="41"/>
      <c r="F19" s="44"/>
      <c r="G19" s="41"/>
      <c r="H19" s="42"/>
      <c r="I19" s="41"/>
      <c r="J19" s="46"/>
      <c r="K19" s="46"/>
    </row>
    <row r="20" spans="2:11" ht="15.75" thickBot="1" x14ac:dyDescent="0.3">
      <c r="B20" s="35"/>
      <c r="C20" s="55" t="s">
        <v>282</v>
      </c>
      <c r="D20" s="43">
        <v>2960175.7</v>
      </c>
      <c r="E20" s="43">
        <v>2960175.7</v>
      </c>
      <c r="F20" s="43">
        <v>2960175.7</v>
      </c>
      <c r="G20" s="43">
        <v>2960175.7</v>
      </c>
      <c r="H20" s="42">
        <f t="shared" ref="H20:I22" si="1">F20-D20</f>
        <v>0</v>
      </c>
      <c r="I20" s="41">
        <f t="shared" si="1"/>
        <v>0</v>
      </c>
      <c r="J20" s="46">
        <f>F20/D20</f>
        <v>1</v>
      </c>
      <c r="K20" s="46">
        <f>G20/E20</f>
        <v>1</v>
      </c>
    </row>
    <row r="21" spans="2:11" ht="15.75" thickBot="1" x14ac:dyDescent="0.3">
      <c r="B21" s="35"/>
      <c r="C21" s="55" t="s">
        <v>288</v>
      </c>
      <c r="D21" s="43">
        <v>64139.6</v>
      </c>
      <c r="E21" s="43">
        <v>64139.6</v>
      </c>
      <c r="F21" s="43">
        <v>134125.79999999999</v>
      </c>
      <c r="G21" s="43">
        <v>134125.79999999999</v>
      </c>
      <c r="H21" s="42">
        <f t="shared" si="1"/>
        <v>69986.2</v>
      </c>
      <c r="I21" s="41">
        <f t="shared" si="1"/>
        <v>69986.2</v>
      </c>
      <c r="J21" s="46"/>
      <c r="K21" s="46"/>
    </row>
    <row r="22" spans="2:11" ht="15.75" thickBot="1" x14ac:dyDescent="0.3">
      <c r="B22" s="35"/>
      <c r="C22" s="55" t="s">
        <v>289</v>
      </c>
      <c r="D22" s="43"/>
      <c r="E22" s="43"/>
      <c r="F22" s="43">
        <v>42525.3</v>
      </c>
      <c r="G22" s="43">
        <v>42525.3</v>
      </c>
      <c r="H22" s="42">
        <f t="shared" si="1"/>
        <v>42525.3</v>
      </c>
      <c r="I22" s="41">
        <f t="shared" si="1"/>
        <v>42525.3</v>
      </c>
      <c r="J22" s="46"/>
      <c r="K22" s="46"/>
    </row>
    <row r="23" spans="2:11" ht="15.75" thickBot="1" x14ac:dyDescent="0.3">
      <c r="B23" s="35"/>
      <c r="C23" s="55" t="s">
        <v>284</v>
      </c>
      <c r="D23" s="43"/>
      <c r="E23" s="41"/>
      <c r="F23" s="44"/>
      <c r="G23" s="41"/>
      <c r="H23" s="42"/>
      <c r="I23" s="41"/>
      <c r="J23" s="46" t="e">
        <f t="shared" ref="J23:K27" si="2">F23/D23</f>
        <v>#DIV/0!</v>
      </c>
      <c r="K23" s="46" t="e">
        <f t="shared" si="2"/>
        <v>#DIV/0!</v>
      </c>
    </row>
    <row r="24" spans="2:11" ht="26.25" thickBot="1" x14ac:dyDescent="0.3">
      <c r="B24" s="35">
        <v>8</v>
      </c>
      <c r="C24" s="39" t="s">
        <v>265</v>
      </c>
      <c r="D24" s="43">
        <v>364297.3</v>
      </c>
      <c r="E24" s="41">
        <v>327491.5</v>
      </c>
      <c r="F24" s="44">
        <v>375023.4</v>
      </c>
      <c r="G24" s="41">
        <v>345582.7</v>
      </c>
      <c r="H24" s="42">
        <f>F24-D24</f>
        <v>10726.1</v>
      </c>
      <c r="I24" s="41">
        <f>G24-E24</f>
        <v>18091.2</v>
      </c>
      <c r="J24" s="46">
        <f t="shared" si="2"/>
        <v>1.0289999999999999</v>
      </c>
      <c r="K24" s="46">
        <f t="shared" si="2"/>
        <v>1.0549999999999999</v>
      </c>
    </row>
    <row r="25" spans="2:11" ht="15.75" thickBot="1" x14ac:dyDescent="0.3">
      <c r="B25" s="35"/>
      <c r="C25" s="45" t="s">
        <v>277</v>
      </c>
      <c r="D25" s="43"/>
      <c r="E25" s="41"/>
      <c r="F25" s="44"/>
      <c r="G25" s="41"/>
      <c r="H25" s="42"/>
      <c r="I25" s="41"/>
      <c r="J25" s="46" t="e">
        <f t="shared" si="2"/>
        <v>#DIV/0!</v>
      </c>
      <c r="K25" s="46" t="e">
        <f t="shared" si="2"/>
        <v>#DIV/0!</v>
      </c>
    </row>
    <row r="26" spans="2:11" ht="15.75" thickBot="1" x14ac:dyDescent="0.3">
      <c r="B26" s="35"/>
      <c r="C26" s="55" t="s">
        <v>284</v>
      </c>
      <c r="D26" s="56"/>
      <c r="E26" s="54"/>
      <c r="F26" s="58">
        <v>10000</v>
      </c>
      <c r="G26" s="58">
        <v>10000</v>
      </c>
      <c r="H26" s="57"/>
      <c r="I26" s="54"/>
      <c r="J26" s="46" t="e">
        <f t="shared" si="2"/>
        <v>#DIV/0!</v>
      </c>
      <c r="K26" s="46" t="e">
        <f t="shared" si="2"/>
        <v>#DIV/0!</v>
      </c>
    </row>
    <row r="27" spans="2:11" ht="26.25" thickBot="1" x14ac:dyDescent="0.3">
      <c r="B27" s="35">
        <v>9</v>
      </c>
      <c r="C27" s="39" t="s">
        <v>266</v>
      </c>
      <c r="D27" s="43">
        <v>185940.5</v>
      </c>
      <c r="E27" s="42">
        <f>D27</f>
        <v>185940.5</v>
      </c>
      <c r="F27" s="44">
        <v>344244.2</v>
      </c>
      <c r="G27" s="41">
        <v>189758.3</v>
      </c>
      <c r="H27" s="42">
        <f>F27-D27</f>
        <v>158303.70000000001</v>
      </c>
      <c r="I27" s="41">
        <f>G27-E27</f>
        <v>3817.7999999999902</v>
      </c>
      <c r="J27" s="46">
        <f t="shared" si="2"/>
        <v>1.851</v>
      </c>
      <c r="K27" s="46">
        <f t="shared" si="2"/>
        <v>1.0209999999999999</v>
      </c>
    </row>
    <row r="28" spans="2:11" ht="15.75" thickBot="1" x14ac:dyDescent="0.3">
      <c r="B28" s="35"/>
      <c r="C28" s="45" t="s">
        <v>277</v>
      </c>
      <c r="D28" s="43"/>
      <c r="E28" s="42"/>
      <c r="F28" s="44"/>
      <c r="G28" s="41"/>
      <c r="H28" s="42"/>
      <c r="I28" s="41"/>
      <c r="J28" s="46"/>
      <c r="K28" s="46"/>
    </row>
    <row r="29" spans="2:11" ht="15.75" thickBot="1" x14ac:dyDescent="0.3">
      <c r="B29" s="35"/>
      <c r="C29" s="55" t="s">
        <v>284</v>
      </c>
      <c r="D29" s="56">
        <v>42650.8</v>
      </c>
      <c r="E29" s="56">
        <v>42650.8</v>
      </c>
      <c r="F29" s="44">
        <v>190658.5</v>
      </c>
      <c r="G29" s="42">
        <f>F29-185265.1</f>
        <v>5393.4</v>
      </c>
      <c r="H29" s="42">
        <f t="shared" ref="H29:H31" si="3">F29-D29</f>
        <v>148007.70000000001</v>
      </c>
      <c r="I29" s="41">
        <f t="shared" ref="I29:I31" si="4">G29-E29</f>
        <v>-37257.4</v>
      </c>
      <c r="J29" s="51">
        <f t="shared" ref="J29:J39" si="5">F29/D29</f>
        <v>4.47</v>
      </c>
      <c r="K29" s="51">
        <f t="shared" ref="K29:K39" si="6">G29/E29</f>
        <v>0.126</v>
      </c>
    </row>
    <row r="30" spans="2:11" ht="15.75" thickBot="1" x14ac:dyDescent="0.3">
      <c r="B30" s="35"/>
      <c r="C30" s="55" t="s">
        <v>281</v>
      </c>
      <c r="D30" s="56">
        <v>31600</v>
      </c>
      <c r="E30" s="57">
        <v>31600</v>
      </c>
      <c r="F30" s="58">
        <v>9600</v>
      </c>
      <c r="G30" s="58">
        <v>9600</v>
      </c>
      <c r="H30" s="42">
        <f t="shared" si="3"/>
        <v>-22000</v>
      </c>
      <c r="I30" s="41">
        <f t="shared" si="4"/>
        <v>-22000</v>
      </c>
      <c r="J30" s="51">
        <f t="shared" si="5"/>
        <v>0.30399999999999999</v>
      </c>
      <c r="K30" s="51">
        <f t="shared" si="6"/>
        <v>0.30399999999999999</v>
      </c>
    </row>
    <row r="31" spans="2:11" ht="15.75" thickBot="1" x14ac:dyDescent="0.3">
      <c r="B31" s="35"/>
      <c r="C31" s="55" t="s">
        <v>285</v>
      </c>
      <c r="D31" s="56">
        <v>19851.2</v>
      </c>
      <c r="E31" s="56">
        <v>19851.2</v>
      </c>
      <c r="F31" s="58">
        <v>24559.8</v>
      </c>
      <c r="G31" s="58">
        <f>F31</f>
        <v>24559.8</v>
      </c>
      <c r="H31" s="42">
        <f t="shared" si="3"/>
        <v>4708.6000000000004</v>
      </c>
      <c r="I31" s="41">
        <f t="shared" si="4"/>
        <v>4708.6000000000004</v>
      </c>
      <c r="J31" s="51">
        <f t="shared" si="5"/>
        <v>1.2370000000000001</v>
      </c>
      <c r="K31" s="51">
        <f t="shared" si="6"/>
        <v>1.2370000000000001</v>
      </c>
    </row>
    <row r="32" spans="2:11" ht="26.25" thickBot="1" x14ac:dyDescent="0.3">
      <c r="B32" s="35">
        <v>10</v>
      </c>
      <c r="C32" s="39" t="s">
        <v>27</v>
      </c>
      <c r="D32" s="43">
        <v>3177145.1</v>
      </c>
      <c r="E32" s="41">
        <v>2793535.4</v>
      </c>
      <c r="F32" s="44">
        <v>2838152.9</v>
      </c>
      <c r="G32" s="41">
        <v>2802799.4</v>
      </c>
      <c r="H32" s="42">
        <f>F32-D32</f>
        <v>-338992.2</v>
      </c>
      <c r="I32" s="41">
        <f>G32-E32</f>
        <v>9264</v>
      </c>
      <c r="J32" s="46">
        <f t="shared" si="5"/>
        <v>0.89300000000000002</v>
      </c>
      <c r="K32" s="46">
        <f t="shared" si="6"/>
        <v>1.0029999999999999</v>
      </c>
    </row>
    <row r="33" spans="2:11" ht="26.25" hidden="1" thickBot="1" x14ac:dyDescent="0.3">
      <c r="B33" s="30">
        <v>11</v>
      </c>
      <c r="C33" s="31" t="s">
        <v>267</v>
      </c>
      <c r="D33" s="32">
        <v>2702783.4</v>
      </c>
      <c r="J33" s="46">
        <f t="shared" si="5"/>
        <v>0</v>
      </c>
      <c r="K33" s="46" t="e">
        <f t="shared" si="6"/>
        <v>#DIV/0!</v>
      </c>
    </row>
    <row r="34" spans="2:11" ht="39" hidden="1" thickBot="1" x14ac:dyDescent="0.3">
      <c r="B34" s="30">
        <v>12</v>
      </c>
      <c r="C34" s="31" t="s">
        <v>268</v>
      </c>
      <c r="D34" s="32">
        <v>34927.800000000003</v>
      </c>
      <c r="J34" s="46">
        <f t="shared" si="5"/>
        <v>0</v>
      </c>
      <c r="K34" s="46" t="e">
        <f t="shared" si="6"/>
        <v>#DIV/0!</v>
      </c>
    </row>
    <row r="35" spans="2:11" ht="39" hidden="1" customHeight="1" thickBot="1" x14ac:dyDescent="0.3">
      <c r="B35" s="30">
        <v>14</v>
      </c>
      <c r="C35" s="33" t="s">
        <v>269</v>
      </c>
      <c r="D35" s="32">
        <v>64322.2</v>
      </c>
      <c r="J35" s="46">
        <f t="shared" si="5"/>
        <v>0</v>
      </c>
      <c r="K35" s="46" t="e">
        <f t="shared" si="6"/>
        <v>#DIV/0!</v>
      </c>
    </row>
    <row r="36" spans="2:11" ht="64.5" hidden="1" customHeight="1" thickBot="1" x14ac:dyDescent="0.3">
      <c r="B36" s="30">
        <v>15</v>
      </c>
      <c r="C36" s="33" t="s">
        <v>270</v>
      </c>
      <c r="D36" s="32">
        <v>286381.90000000002</v>
      </c>
      <c r="J36" s="46">
        <f t="shared" si="5"/>
        <v>0</v>
      </c>
      <c r="K36" s="46" t="e">
        <f t="shared" si="6"/>
        <v>#DIV/0!</v>
      </c>
    </row>
    <row r="37" spans="2:11" ht="39" hidden="1" customHeight="1" thickBot="1" x14ac:dyDescent="0.3">
      <c r="B37" s="30">
        <v>17</v>
      </c>
      <c r="C37" s="33" t="s">
        <v>121</v>
      </c>
      <c r="D37" s="32">
        <v>40639.199999999997</v>
      </c>
      <c r="J37" s="46">
        <f t="shared" si="5"/>
        <v>0</v>
      </c>
      <c r="K37" s="46" t="e">
        <f t="shared" si="6"/>
        <v>#DIV/0!</v>
      </c>
    </row>
    <row r="38" spans="2:11" ht="15.75" hidden="1" thickBot="1" x14ac:dyDescent="0.3">
      <c r="B38" s="30">
        <v>99</v>
      </c>
      <c r="C38" s="31" t="s">
        <v>271</v>
      </c>
      <c r="D38" s="32">
        <v>1003706.1</v>
      </c>
      <c r="J38" s="46">
        <f t="shared" si="5"/>
        <v>0</v>
      </c>
      <c r="K38" s="46" t="e">
        <f t="shared" si="6"/>
        <v>#DIV/0!</v>
      </c>
    </row>
    <row r="39" spans="2:11" x14ac:dyDescent="0.25">
      <c r="C39" s="45" t="s">
        <v>277</v>
      </c>
      <c r="J39" s="46" t="e">
        <f t="shared" si="5"/>
        <v>#DIV/0!</v>
      </c>
      <c r="K39" s="46" t="e">
        <f t="shared" si="6"/>
        <v>#DIV/0!</v>
      </c>
    </row>
    <row r="40" spans="2:11" x14ac:dyDescent="0.25">
      <c r="C40" s="55" t="s">
        <v>284</v>
      </c>
      <c r="J40" s="46"/>
      <c r="K40" s="46"/>
    </row>
    <row r="41" spans="2:11" ht="26.25" x14ac:dyDescent="0.25">
      <c r="C41" s="47" t="s">
        <v>278</v>
      </c>
      <c r="D41" s="48">
        <v>1498232.7</v>
      </c>
      <c r="E41" s="48">
        <v>1498232.7</v>
      </c>
      <c r="F41" s="48">
        <v>1541909.1</v>
      </c>
      <c r="G41" s="48">
        <v>1541909.1</v>
      </c>
      <c r="H41" s="49">
        <f>F41-D41</f>
        <v>43676.4</v>
      </c>
      <c r="I41" s="50">
        <f>G41-E41</f>
        <v>43676.400000000103</v>
      </c>
      <c r="J41" s="51">
        <f>F41/D41</f>
        <v>1.0289999999999999</v>
      </c>
      <c r="K41" s="51">
        <f>G41/E41</f>
        <v>1.0289999999999999</v>
      </c>
    </row>
    <row r="42" spans="2:11" x14ac:dyDescent="0.25">
      <c r="C42" s="52" t="s">
        <v>280</v>
      </c>
      <c r="D42" s="53">
        <v>182668.5</v>
      </c>
      <c r="E42" s="53">
        <v>182668.5</v>
      </c>
      <c r="F42" s="54">
        <v>181010.5</v>
      </c>
      <c r="G42" s="54">
        <v>181010.5</v>
      </c>
      <c r="H42" s="49">
        <f>F42-D42</f>
        <v>-1658</v>
      </c>
      <c r="I42" s="50">
        <f>G42-E42</f>
        <v>-1658</v>
      </c>
      <c r="J42" s="51">
        <f>F42/D42</f>
        <v>0.99099999999999999</v>
      </c>
      <c r="K42" s="51">
        <f>G42/E42</f>
        <v>0.99099999999999999</v>
      </c>
    </row>
  </sheetData>
  <mergeCells count="6">
    <mergeCell ref="B4:B5"/>
    <mergeCell ref="J4:K4"/>
    <mergeCell ref="C4:C5"/>
    <mergeCell ref="H4:I4"/>
    <mergeCell ref="D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angilina</dc:creator>
  <cp:lastModifiedBy>Сумачакова</cp:lastModifiedBy>
  <cp:lastPrinted>2020-11-16T03:30:40Z</cp:lastPrinted>
  <dcterms:created xsi:type="dcterms:W3CDTF">2015-12-09T05:09:14Z</dcterms:created>
  <dcterms:modified xsi:type="dcterms:W3CDTF">2020-11-17T02:43:56Z</dcterms:modified>
</cp:coreProperties>
</file>